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HarryKampakis\Documents\HT-HC\"/>
    </mc:Choice>
  </mc:AlternateContent>
  <xr:revisionPtr revIDLastSave="0" documentId="8_{B2C36B62-F7C6-44A3-A349-1D1CF65EB64A}" xr6:coauthVersionLast="47" xr6:coauthVersionMax="47" xr10:uidLastSave="{00000000-0000-0000-0000-000000000000}"/>
  <bookViews>
    <workbookView xWindow="-120" yWindow="-120" windowWidth="29040" windowHeight="15720" activeTab="1" xr2:uid="{E5715187-348D-4CFE-A153-6B8411380D07}"/>
  </bookViews>
  <sheets>
    <sheet name="About" sheetId="10" r:id="rId1"/>
    <sheet name="Proforma" sheetId="1" r:id="rId2"/>
    <sheet name="grave openings estimate" sheetId="2" r:id="rId3"/>
    <sheet name="Actuarial life table" sheetId="3" r:id="rId4"/>
    <sheet name="Investment Policy Statement" sheetId="7" r:id="rId5"/>
    <sheet name="Spending Rule" sheetId="4" r:id="rId6"/>
    <sheet name="Denise notes" sheetId="6" r:id="rId7"/>
  </sheets>
  <definedNames>
    <definedName name="_xlnm.Print_Titles" localSheetId="1">Proforma!$A:$A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B2" i="2"/>
  <c r="B1" i="2"/>
  <c r="G22" i="1"/>
  <c r="G20" i="1"/>
  <c r="G7" i="1"/>
  <c r="D6" i="1"/>
  <c r="D5" i="1"/>
  <c r="C7" i="1"/>
  <c r="P20" i="1"/>
  <c r="C5" i="1"/>
  <c r="B5" i="6"/>
  <c r="C20" i="1"/>
  <c r="C21" i="1" s="1"/>
  <c r="C16" i="1"/>
  <c r="E5" i="1" l="1"/>
  <c r="D25" i="2"/>
  <c r="D24" i="2"/>
  <c r="D23" i="2"/>
  <c r="D22" i="2"/>
  <c r="D21" i="2"/>
  <c r="D20" i="2"/>
  <c r="D19" i="2"/>
  <c r="D18" i="2"/>
  <c r="D17" i="2"/>
  <c r="D16" i="2"/>
  <c r="D15" i="2"/>
  <c r="D14" i="2"/>
  <c r="D13" i="2"/>
  <c r="D12" i="2"/>
  <c r="D3" i="4"/>
  <c r="D5" i="4"/>
  <c r="D11" i="2"/>
  <c r="D10" i="2"/>
  <c r="D9" i="2"/>
  <c r="D8" i="2"/>
  <c r="D7" i="2"/>
  <c r="D6" i="2"/>
  <c r="D5" i="2"/>
  <c r="D4" i="2"/>
  <c r="D7" i="1"/>
  <c r="D25" i="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AN25" i="1" s="1"/>
  <c r="AO25" i="1" s="1"/>
  <c r="AP25" i="1" s="1"/>
  <c r="AQ25" i="1" s="1"/>
  <c r="AR25" i="1" s="1"/>
  <c r="AS25" i="1" s="1"/>
  <c r="AT25" i="1" s="1"/>
  <c r="AU25" i="1" s="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BP25" i="1" s="1"/>
  <c r="BQ25" i="1" s="1"/>
  <c r="BR25" i="1" s="1"/>
  <c r="BS25" i="1" s="1"/>
  <c r="BT25" i="1" s="1"/>
  <c r="BU25" i="1" s="1"/>
  <c r="BV25" i="1" s="1"/>
  <c r="BW25" i="1" s="1"/>
  <c r="BX25" i="1" s="1"/>
  <c r="BY25" i="1" s="1"/>
  <c r="D26" i="1"/>
  <c r="E26" i="1" s="1"/>
  <c r="F26" i="1" s="1"/>
  <c r="G26" i="1" s="1"/>
  <c r="H26" i="1" s="1"/>
  <c r="I26" i="1" s="1"/>
  <c r="J26" i="1" s="1"/>
  <c r="K26" i="1" s="1"/>
  <c r="L26" i="1" s="1"/>
  <c r="M26" i="1" s="1"/>
  <c r="N26" i="1" s="1"/>
  <c r="O26" i="1" s="1"/>
  <c r="P26" i="1" s="1"/>
  <c r="Q26" i="1" s="1"/>
  <c r="R26" i="1" s="1"/>
  <c r="S26" i="1" s="1"/>
  <c r="T26" i="1" s="1"/>
  <c r="U26" i="1" s="1"/>
  <c r="V26" i="1" s="1"/>
  <c r="W26" i="1" s="1"/>
  <c r="X26" i="1" s="1"/>
  <c r="Y26" i="1" s="1"/>
  <c r="Z26" i="1" s="1"/>
  <c r="AA26" i="1" s="1"/>
  <c r="AB26" i="1" s="1"/>
  <c r="AC26" i="1" s="1"/>
  <c r="AD26" i="1" s="1"/>
  <c r="AE26" i="1" s="1"/>
  <c r="AF26" i="1" s="1"/>
  <c r="AG26" i="1" s="1"/>
  <c r="AH26" i="1" s="1"/>
  <c r="AI26" i="1" s="1"/>
  <c r="AJ26" i="1" s="1"/>
  <c r="AK26" i="1" s="1"/>
  <c r="AL26" i="1" s="1"/>
  <c r="AM26" i="1" s="1"/>
  <c r="AN26" i="1" s="1"/>
  <c r="AO26" i="1" s="1"/>
  <c r="AP26" i="1" s="1"/>
  <c r="AQ26" i="1" s="1"/>
  <c r="AR26" i="1" s="1"/>
  <c r="AS26" i="1" s="1"/>
  <c r="AT26" i="1" s="1"/>
  <c r="AU26" i="1" s="1"/>
  <c r="AV26" i="1" s="1"/>
  <c r="AW26" i="1" s="1"/>
  <c r="AX26" i="1" s="1"/>
  <c r="AY26" i="1" s="1"/>
  <c r="AZ26" i="1" s="1"/>
  <c r="BA26" i="1" s="1"/>
  <c r="BB26" i="1" s="1"/>
  <c r="BC26" i="1" s="1"/>
  <c r="BD26" i="1" s="1"/>
  <c r="BE26" i="1" s="1"/>
  <c r="BF26" i="1" s="1"/>
  <c r="BG26" i="1" s="1"/>
  <c r="BH26" i="1" s="1"/>
  <c r="BI26" i="1" s="1"/>
  <c r="BJ26" i="1" s="1"/>
  <c r="BK26" i="1" s="1"/>
  <c r="BL26" i="1" s="1"/>
  <c r="BM26" i="1" s="1"/>
  <c r="BN26" i="1" s="1"/>
  <c r="BO26" i="1" s="1"/>
  <c r="BP26" i="1" s="1"/>
  <c r="BQ26" i="1" s="1"/>
  <c r="BR26" i="1" s="1"/>
  <c r="BS26" i="1" s="1"/>
  <c r="BT26" i="1" s="1"/>
  <c r="BU26" i="1" s="1"/>
  <c r="BV26" i="1" s="1"/>
  <c r="BW26" i="1" s="1"/>
  <c r="BX26" i="1" s="1"/>
  <c r="BY26" i="1" s="1"/>
  <c r="D24" i="1"/>
  <c r="E24" i="1" s="1"/>
  <c r="F24" i="1" s="1"/>
  <c r="G24" i="1" s="1"/>
  <c r="H24" i="1" s="1"/>
  <c r="I24" i="1" s="1"/>
  <c r="J24" i="1" s="1"/>
  <c r="K24" i="1" s="1"/>
  <c r="L24" i="1" s="1"/>
  <c r="M24" i="1" s="1"/>
  <c r="N24" i="1" s="1"/>
  <c r="O24" i="1" s="1"/>
  <c r="P24" i="1" s="1"/>
  <c r="Q24" i="1" s="1"/>
  <c r="R24" i="1" s="1"/>
  <c r="S24" i="1" s="1"/>
  <c r="T24" i="1" s="1"/>
  <c r="U24" i="1" s="1"/>
  <c r="V24" i="1" s="1"/>
  <c r="W24" i="1" s="1"/>
  <c r="X24" i="1" s="1"/>
  <c r="Y24" i="1" s="1"/>
  <c r="Z24" i="1" s="1"/>
  <c r="AA24" i="1" s="1"/>
  <c r="AB24" i="1" s="1"/>
  <c r="AC24" i="1" s="1"/>
  <c r="AD24" i="1" s="1"/>
  <c r="AE24" i="1" s="1"/>
  <c r="AF24" i="1" s="1"/>
  <c r="AG24" i="1" s="1"/>
  <c r="AH24" i="1" s="1"/>
  <c r="AI24" i="1" s="1"/>
  <c r="AJ24" i="1" s="1"/>
  <c r="AK24" i="1" s="1"/>
  <c r="AL24" i="1" s="1"/>
  <c r="AM24" i="1" s="1"/>
  <c r="AN24" i="1" s="1"/>
  <c r="AO24" i="1" s="1"/>
  <c r="AP24" i="1" s="1"/>
  <c r="AQ24" i="1" s="1"/>
  <c r="AR24" i="1" s="1"/>
  <c r="AS24" i="1" s="1"/>
  <c r="AT24" i="1" s="1"/>
  <c r="AU24" i="1" s="1"/>
  <c r="AV24" i="1" s="1"/>
  <c r="AW24" i="1" s="1"/>
  <c r="AX24" i="1" s="1"/>
  <c r="AY24" i="1" s="1"/>
  <c r="AZ24" i="1" s="1"/>
  <c r="BA24" i="1" s="1"/>
  <c r="BB24" i="1" s="1"/>
  <c r="BC24" i="1" s="1"/>
  <c r="BD24" i="1" s="1"/>
  <c r="BE24" i="1" s="1"/>
  <c r="BF24" i="1" s="1"/>
  <c r="BG24" i="1" s="1"/>
  <c r="BH24" i="1" s="1"/>
  <c r="BI24" i="1" s="1"/>
  <c r="BJ24" i="1" s="1"/>
  <c r="BK24" i="1" s="1"/>
  <c r="BL24" i="1" s="1"/>
  <c r="BM24" i="1" s="1"/>
  <c r="BN24" i="1" s="1"/>
  <c r="BO24" i="1" s="1"/>
  <c r="BP24" i="1" s="1"/>
  <c r="BQ24" i="1" s="1"/>
  <c r="BR24" i="1" s="1"/>
  <c r="BS24" i="1" s="1"/>
  <c r="BT24" i="1" s="1"/>
  <c r="BU24" i="1" s="1"/>
  <c r="BV24" i="1" s="1"/>
  <c r="BW24" i="1" s="1"/>
  <c r="BX24" i="1" s="1"/>
  <c r="BY24" i="1" s="1"/>
  <c r="D23" i="1"/>
  <c r="E23" i="1" s="1"/>
  <c r="F23" i="1" s="1"/>
  <c r="G23" i="1" s="1"/>
  <c r="H23" i="1" s="1"/>
  <c r="I23" i="1" s="1"/>
  <c r="J23" i="1" s="1"/>
  <c r="K23" i="1" s="1"/>
  <c r="L23" i="1" s="1"/>
  <c r="M23" i="1" s="1"/>
  <c r="N23" i="1" s="1"/>
  <c r="O23" i="1" s="1"/>
  <c r="P23" i="1" s="1"/>
  <c r="Q23" i="1" s="1"/>
  <c r="R23" i="1" s="1"/>
  <c r="S23" i="1" s="1"/>
  <c r="T23" i="1" s="1"/>
  <c r="U23" i="1" s="1"/>
  <c r="V23" i="1" s="1"/>
  <c r="W23" i="1" s="1"/>
  <c r="X23" i="1" s="1"/>
  <c r="Y23" i="1" s="1"/>
  <c r="Z23" i="1" s="1"/>
  <c r="AA23" i="1" s="1"/>
  <c r="AB23" i="1" s="1"/>
  <c r="AC23" i="1" s="1"/>
  <c r="AD23" i="1" s="1"/>
  <c r="AE23" i="1" s="1"/>
  <c r="AF23" i="1" s="1"/>
  <c r="AG23" i="1" s="1"/>
  <c r="AH23" i="1" s="1"/>
  <c r="AI23" i="1" s="1"/>
  <c r="AJ23" i="1" s="1"/>
  <c r="AK23" i="1" s="1"/>
  <c r="AL23" i="1" s="1"/>
  <c r="AM23" i="1" s="1"/>
  <c r="AN23" i="1" s="1"/>
  <c r="AO23" i="1" s="1"/>
  <c r="AP23" i="1" s="1"/>
  <c r="AQ23" i="1" s="1"/>
  <c r="AR23" i="1" s="1"/>
  <c r="AS23" i="1" s="1"/>
  <c r="AT23" i="1" s="1"/>
  <c r="AU23" i="1" s="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BU23" i="1" s="1"/>
  <c r="BV23" i="1" s="1"/>
  <c r="BW23" i="1" s="1"/>
  <c r="BX23" i="1" s="1"/>
  <c r="BY23" i="1" s="1"/>
  <c r="D22" i="1"/>
  <c r="E22" i="1" s="1"/>
  <c r="F22" i="1" s="1"/>
  <c r="H22" i="1" s="1"/>
  <c r="I22" i="1" s="1"/>
  <c r="J22" i="1" s="1"/>
  <c r="K22" i="1" s="1"/>
  <c r="L22" i="1" s="1"/>
  <c r="M22" i="1" s="1"/>
  <c r="N22" i="1" s="1"/>
  <c r="D20" i="1"/>
  <c r="E20" i="1" s="1"/>
  <c r="F20" i="1" s="1"/>
  <c r="D12" i="1"/>
  <c r="BT9" i="1" l="1"/>
  <c r="BT27" i="1" s="1"/>
  <c r="BL9" i="1"/>
  <c r="BL27" i="1" s="1"/>
  <c r="BD9" i="1"/>
  <c r="BD27" i="1" s="1"/>
  <c r="AV9" i="1"/>
  <c r="AV27" i="1" s="1"/>
  <c r="AN9" i="1"/>
  <c r="AN27" i="1" s="1"/>
  <c r="AF9" i="1"/>
  <c r="AF27" i="1" s="1"/>
  <c r="X9" i="1"/>
  <c r="X27" i="1" s="1"/>
  <c r="AL9" i="1"/>
  <c r="AL27" i="1" s="1"/>
  <c r="BH9" i="1"/>
  <c r="BH27" i="1" s="1"/>
  <c r="AJ9" i="1"/>
  <c r="AJ27" i="1" s="1"/>
  <c r="Y9" i="1"/>
  <c r="Y27" i="1" s="1"/>
  <c r="BS9" i="1"/>
  <c r="BK9" i="1"/>
  <c r="BC9" i="1"/>
  <c r="BC27" i="1" s="1"/>
  <c r="AU9" i="1"/>
  <c r="AM9" i="1"/>
  <c r="AM27" i="1" s="1"/>
  <c r="AE9" i="1"/>
  <c r="AT9" i="1"/>
  <c r="AT27" i="1" s="1"/>
  <c r="AZ9" i="1"/>
  <c r="AZ27" i="1" s="1"/>
  <c r="AB9" i="1"/>
  <c r="AB27" i="1" s="1"/>
  <c r="AW9" i="1"/>
  <c r="AW27" i="1" s="1"/>
  <c r="BR9" i="1"/>
  <c r="BR27" i="1" s="1"/>
  <c r="BJ9" i="1"/>
  <c r="BJ27" i="1" s="1"/>
  <c r="BB9" i="1"/>
  <c r="BB27" i="1" s="1"/>
  <c r="AD9" i="1"/>
  <c r="AD27" i="1" s="1"/>
  <c r="AR9" i="1"/>
  <c r="AR27" i="1" s="1"/>
  <c r="BY9" i="1"/>
  <c r="BY27" i="1" s="1"/>
  <c r="BQ9" i="1"/>
  <c r="BQ27" i="1" s="1"/>
  <c r="BI9" i="1"/>
  <c r="BI27" i="1" s="1"/>
  <c r="BA9" i="1"/>
  <c r="BA27" i="1" s="1"/>
  <c r="AS9" i="1"/>
  <c r="AS27" i="1" s="1"/>
  <c r="AK9" i="1"/>
  <c r="AK27" i="1" s="1"/>
  <c r="AC9" i="1"/>
  <c r="AC27" i="1" s="1"/>
  <c r="BP9" i="1"/>
  <c r="BP27" i="1" s="1"/>
  <c r="AG9" i="1"/>
  <c r="AG27" i="1" s="1"/>
  <c r="BX9" i="1"/>
  <c r="BX27" i="1" s="1"/>
  <c r="BW9" i="1"/>
  <c r="BO9" i="1"/>
  <c r="BO27" i="1" s="1"/>
  <c r="BG9" i="1"/>
  <c r="BG27" i="1" s="1"/>
  <c r="AY9" i="1"/>
  <c r="AY27" i="1" s="1"/>
  <c r="AQ9" i="1"/>
  <c r="AQ27" i="1" s="1"/>
  <c r="AI9" i="1"/>
  <c r="AA9" i="1"/>
  <c r="BV9" i="1"/>
  <c r="BV27" i="1" s="1"/>
  <c r="BN9" i="1"/>
  <c r="BN27" i="1" s="1"/>
  <c r="BF9" i="1"/>
  <c r="BF27" i="1" s="1"/>
  <c r="AX9" i="1"/>
  <c r="AX27" i="1" s="1"/>
  <c r="AP9" i="1"/>
  <c r="AP27" i="1" s="1"/>
  <c r="AH9" i="1"/>
  <c r="AH27" i="1" s="1"/>
  <c r="Z9" i="1"/>
  <c r="Z27" i="1" s="1"/>
  <c r="BU9" i="1"/>
  <c r="BU27" i="1" s="1"/>
  <c r="BM9" i="1"/>
  <c r="BM27" i="1" s="1"/>
  <c r="BE9" i="1"/>
  <c r="BE27" i="1" s="1"/>
  <c r="AO9" i="1"/>
  <c r="AO27" i="1" s="1"/>
  <c r="AU27" i="1"/>
  <c r="AE27" i="1"/>
  <c r="AA27" i="1"/>
  <c r="BW27" i="1"/>
  <c r="BK27" i="1"/>
  <c r="BS27" i="1"/>
  <c r="AI27" i="1"/>
  <c r="F5" i="1"/>
  <c r="E12" i="1"/>
  <c r="H20" i="1"/>
  <c r="I20" i="1" s="1"/>
  <c r="J20" i="1" s="1"/>
  <c r="K20" i="1" s="1"/>
  <c r="L20" i="1" s="1"/>
  <c r="O22" i="1"/>
  <c r="P22" i="1" s="1"/>
  <c r="Q22" i="1" s="1"/>
  <c r="R22" i="1" s="1"/>
  <c r="S22" i="1" s="1"/>
  <c r="T22" i="1" s="1"/>
  <c r="U22" i="1" s="1"/>
  <c r="V22" i="1" s="1"/>
  <c r="W22" i="1" s="1"/>
  <c r="X22" i="1" s="1"/>
  <c r="Y22" i="1" s="1"/>
  <c r="Z22" i="1" s="1"/>
  <c r="AA22" i="1" s="1"/>
  <c r="AB22" i="1" s="1"/>
  <c r="AC22" i="1" s="1"/>
  <c r="AD22" i="1" s="1"/>
  <c r="AE22" i="1" s="1"/>
  <c r="AF22" i="1" s="1"/>
  <c r="AG22" i="1" s="1"/>
  <c r="AH22" i="1" s="1"/>
  <c r="AI22" i="1" s="1"/>
  <c r="AJ22" i="1" s="1"/>
  <c r="AK22" i="1" s="1"/>
  <c r="AL22" i="1" s="1"/>
  <c r="AM22" i="1" s="1"/>
  <c r="AN22" i="1" s="1"/>
  <c r="AO22" i="1" s="1"/>
  <c r="AP22" i="1" s="1"/>
  <c r="AQ22" i="1" s="1"/>
  <c r="AR22" i="1" s="1"/>
  <c r="AS22" i="1" s="1"/>
  <c r="AT22" i="1" s="1"/>
  <c r="AU22" i="1" s="1"/>
  <c r="AV22" i="1" s="1"/>
  <c r="AW22" i="1" s="1"/>
  <c r="AX22" i="1" s="1"/>
  <c r="AY22" i="1" s="1"/>
  <c r="AZ22" i="1" s="1"/>
  <c r="BA22" i="1" s="1"/>
  <c r="BB22" i="1" s="1"/>
  <c r="BC22" i="1" s="1"/>
  <c r="BD22" i="1" s="1"/>
  <c r="BE22" i="1" s="1"/>
  <c r="BF22" i="1" s="1"/>
  <c r="BG22" i="1" s="1"/>
  <c r="BH22" i="1" s="1"/>
  <c r="BI22" i="1" s="1"/>
  <c r="BJ22" i="1" s="1"/>
  <c r="BK22" i="1" s="1"/>
  <c r="BL22" i="1" s="1"/>
  <c r="BM22" i="1" s="1"/>
  <c r="BN22" i="1" s="1"/>
  <c r="BO22" i="1" s="1"/>
  <c r="BP22" i="1" s="1"/>
  <c r="BQ22" i="1" s="1"/>
  <c r="BR22" i="1" s="1"/>
  <c r="BS22" i="1" s="1"/>
  <c r="BT22" i="1" s="1"/>
  <c r="BU22" i="1" s="1"/>
  <c r="BV22" i="1" s="1"/>
  <c r="BW22" i="1" s="1"/>
  <c r="BX22" i="1" s="1"/>
  <c r="BY22" i="1" s="1"/>
  <c r="W9" i="1"/>
  <c r="I9" i="1"/>
  <c r="Q9" i="1"/>
  <c r="Q27" i="1" s="1"/>
  <c r="S9" i="1"/>
  <c r="S27" i="1" s="1"/>
  <c r="H9" i="1"/>
  <c r="H27" i="1" s="1"/>
  <c r="J9" i="1"/>
  <c r="J27" i="1" s="1"/>
  <c r="L9" i="1"/>
  <c r="L27" i="1" s="1"/>
  <c r="T9" i="1"/>
  <c r="T27" i="1" s="1"/>
  <c r="P9" i="1"/>
  <c r="P27" i="1" s="1"/>
  <c r="U9" i="1"/>
  <c r="U27" i="1" s="1"/>
  <c r="R9" i="1"/>
  <c r="R27" i="1" s="1"/>
  <c r="K9" i="1"/>
  <c r="K27" i="1" s="1"/>
  <c r="D9" i="1"/>
  <c r="D27" i="1" s="1"/>
  <c r="E9" i="1"/>
  <c r="E27" i="1" s="1"/>
  <c r="E28" i="1" s="1"/>
  <c r="M9" i="1"/>
  <c r="M27" i="1" s="1"/>
  <c r="F9" i="1"/>
  <c r="F27" i="1" s="1"/>
  <c r="F28" i="1" s="1"/>
  <c r="N9" i="1"/>
  <c r="N27" i="1" s="1"/>
  <c r="V9" i="1"/>
  <c r="V27" i="1" s="1"/>
  <c r="G9" i="1"/>
  <c r="G27" i="1" s="1"/>
  <c r="G28" i="1" s="1"/>
  <c r="O9" i="1"/>
  <c r="E6" i="1"/>
  <c r="F6" i="1" s="1"/>
  <c r="G6" i="1" s="1"/>
  <c r="D7" i="4"/>
  <c r="C9" i="1"/>
  <c r="C11" i="1" s="1"/>
  <c r="C13" i="1" s="1"/>
  <c r="E7" i="1" l="1"/>
  <c r="G5" i="1"/>
  <c r="F7" i="1"/>
  <c r="C27" i="1"/>
  <c r="C28" i="1" s="1"/>
  <c r="C33" i="1" s="1"/>
  <c r="F12" i="1"/>
  <c r="G12" i="1" s="1"/>
  <c r="H12" i="1" s="1"/>
  <c r="H6" i="1"/>
  <c r="M20" i="1"/>
  <c r="N20" i="1" s="1"/>
  <c r="O20" i="1" s="1"/>
  <c r="Q20" i="1" s="1"/>
  <c r="L21" i="1"/>
  <c r="I27" i="1"/>
  <c r="O27" i="1"/>
  <c r="W27" i="1"/>
  <c r="D28" i="1"/>
  <c r="H28" i="1"/>
  <c r="H5" i="1" l="1"/>
  <c r="D11" i="1"/>
  <c r="C17" i="1"/>
  <c r="R20" i="1"/>
  <c r="S20" i="1" s="1"/>
  <c r="T20" i="1" s="1"/>
  <c r="U20" i="1" s="1"/>
  <c r="V20" i="1" s="1"/>
  <c r="Q21" i="1"/>
  <c r="I6" i="1"/>
  <c r="I12" i="1"/>
  <c r="I28" i="1"/>
  <c r="I5" i="1" l="1"/>
  <c r="H7" i="1"/>
  <c r="E11" i="1"/>
  <c r="D13" i="1"/>
  <c r="J6" i="1"/>
  <c r="W20" i="1"/>
  <c r="X20" i="1" s="1"/>
  <c r="V21" i="1"/>
  <c r="J12" i="1"/>
  <c r="J28" i="1"/>
  <c r="J5" i="1" l="1"/>
  <c r="I7" i="1"/>
  <c r="F11" i="1"/>
  <c r="E13" i="1"/>
  <c r="Y20" i="1"/>
  <c r="X28" i="1"/>
  <c r="K6" i="1"/>
  <c r="K12" i="1"/>
  <c r="K28" i="1"/>
  <c r="K5" i="1" l="1"/>
  <c r="J7" i="1"/>
  <c r="G11" i="1"/>
  <c r="F13" i="1"/>
  <c r="Z20" i="1"/>
  <c r="Y28" i="1"/>
  <c r="L6" i="1"/>
  <c r="M6" i="1" s="1"/>
  <c r="L12" i="1"/>
  <c r="L28" i="1"/>
  <c r="L5" i="1" l="1"/>
  <c r="K7" i="1"/>
  <c r="H11" i="1"/>
  <c r="G13" i="1"/>
  <c r="AA20" i="1"/>
  <c r="Z28" i="1"/>
  <c r="M12" i="1"/>
  <c r="M28" i="1"/>
  <c r="M5" i="1" l="1"/>
  <c r="L7" i="1"/>
  <c r="I11" i="1"/>
  <c r="H13" i="1"/>
  <c r="AB20" i="1"/>
  <c r="AA21" i="1"/>
  <c r="AA28" i="1" s="1"/>
  <c r="N6" i="1"/>
  <c r="N12" i="1"/>
  <c r="O12" i="1" s="1"/>
  <c r="N28" i="1"/>
  <c r="N5" i="1" l="1"/>
  <c r="M7" i="1"/>
  <c r="J11" i="1"/>
  <c r="I13" i="1"/>
  <c r="AC20" i="1"/>
  <c r="AB28" i="1"/>
  <c r="O6" i="1"/>
  <c r="O28" i="1"/>
  <c r="O5" i="1" l="1"/>
  <c r="N7" i="1"/>
  <c r="K11" i="1"/>
  <c r="J13" i="1"/>
  <c r="AD20" i="1"/>
  <c r="AC28" i="1"/>
  <c r="P6" i="1"/>
  <c r="P12" i="1"/>
  <c r="P28" i="1"/>
  <c r="P5" i="1" l="1"/>
  <c r="O7" i="1"/>
  <c r="L11" i="1"/>
  <c r="K13" i="1"/>
  <c r="AE20" i="1"/>
  <c r="AD28" i="1"/>
  <c r="Q6" i="1"/>
  <c r="Q12" i="1"/>
  <c r="Q28" i="1"/>
  <c r="Q5" i="1" l="1"/>
  <c r="P7" i="1"/>
  <c r="M11" i="1"/>
  <c r="L13" i="1"/>
  <c r="AE28" i="1"/>
  <c r="AF20" i="1"/>
  <c r="R6" i="1"/>
  <c r="R12" i="1"/>
  <c r="R28" i="1"/>
  <c r="R5" i="1" l="1"/>
  <c r="Q7" i="1"/>
  <c r="N11" i="1"/>
  <c r="M13" i="1"/>
  <c r="AF21" i="1"/>
  <c r="AF28" i="1"/>
  <c r="AG20" i="1"/>
  <c r="S6" i="1"/>
  <c r="S12" i="1"/>
  <c r="S28" i="1"/>
  <c r="S5" i="1" l="1"/>
  <c r="R7" i="1"/>
  <c r="O11" i="1"/>
  <c r="N13" i="1"/>
  <c r="AG28" i="1"/>
  <c r="AH20" i="1"/>
  <c r="T6" i="1"/>
  <c r="T12" i="1"/>
  <c r="T28" i="1"/>
  <c r="T5" i="1" l="1"/>
  <c r="S7" i="1"/>
  <c r="P11" i="1"/>
  <c r="O13" i="1"/>
  <c r="AH28" i="1"/>
  <c r="AI20" i="1"/>
  <c r="U6" i="1"/>
  <c r="U12" i="1"/>
  <c r="U28" i="1"/>
  <c r="U5" i="1" l="1"/>
  <c r="T7" i="1"/>
  <c r="Q11" i="1"/>
  <c r="P13" i="1"/>
  <c r="AJ20" i="1"/>
  <c r="AI28" i="1"/>
  <c r="V6" i="1"/>
  <c r="V12" i="1"/>
  <c r="W12" i="1" s="1"/>
  <c r="W28" i="1"/>
  <c r="V5" i="1" l="1"/>
  <c r="U7" i="1"/>
  <c r="R11" i="1"/>
  <c r="Q13" i="1"/>
  <c r="X12" i="1"/>
  <c r="AJ28" i="1"/>
  <c r="AK20" i="1"/>
  <c r="W6" i="1"/>
  <c r="V28" i="1"/>
  <c r="C29" i="1"/>
  <c r="C31" i="1" s="1"/>
  <c r="D16" i="1" s="1"/>
  <c r="D17" i="1" l="1"/>
  <c r="D29" i="1" s="1"/>
  <c r="D31" i="1" s="1"/>
  <c r="D33" i="1"/>
  <c r="W5" i="1"/>
  <c r="V7" i="1"/>
  <c r="S11" i="1"/>
  <c r="R13" i="1"/>
  <c r="X6" i="1"/>
  <c r="AL20" i="1"/>
  <c r="AK21" i="1"/>
  <c r="AK28" i="1"/>
  <c r="Y12" i="1"/>
  <c r="X5" i="1" l="1"/>
  <c r="W7" i="1"/>
  <c r="T11" i="1"/>
  <c r="S13" i="1"/>
  <c r="Y6" i="1"/>
  <c r="Z12" i="1"/>
  <c r="AL28" i="1"/>
  <c r="AM20" i="1"/>
  <c r="E16" i="1"/>
  <c r="E17" i="1" l="1"/>
  <c r="E29" i="1" s="1"/>
  <c r="E31" i="1" s="1"/>
  <c r="F16" i="1" s="1"/>
  <c r="E33" i="1"/>
  <c r="Y5" i="1"/>
  <c r="X7" i="1"/>
  <c r="U11" i="1"/>
  <c r="T13" i="1"/>
  <c r="AN20" i="1"/>
  <c r="AM28" i="1"/>
  <c r="Z6" i="1"/>
  <c r="AA12" i="1"/>
  <c r="F17" i="1" l="1"/>
  <c r="F29" i="1" s="1"/>
  <c r="F31" i="1" s="1"/>
  <c r="F33" i="1"/>
  <c r="Z5" i="1"/>
  <c r="Y7" i="1"/>
  <c r="V11" i="1"/>
  <c r="U13" i="1"/>
  <c r="AB12" i="1"/>
  <c r="AA6" i="1"/>
  <c r="AN28" i="1"/>
  <c r="AO20" i="1"/>
  <c r="G16" i="1" l="1"/>
  <c r="AA5" i="1"/>
  <c r="Z7" i="1"/>
  <c r="W11" i="1"/>
  <c r="V13" i="1"/>
  <c r="AO28" i="1"/>
  <c r="AP20" i="1"/>
  <c r="AB6" i="1"/>
  <c r="AC12" i="1"/>
  <c r="G33" i="1" l="1"/>
  <c r="G17" i="1"/>
  <c r="G29" i="1" s="1"/>
  <c r="G31" i="1" s="1"/>
  <c r="H16" i="1" s="1"/>
  <c r="H17" i="1" s="1"/>
  <c r="H29" i="1" s="1"/>
  <c r="H31" i="1" s="1"/>
  <c r="I16" i="1" s="1"/>
  <c r="AB5" i="1"/>
  <c r="AA7" i="1"/>
  <c r="X11" i="1"/>
  <c r="W13" i="1"/>
  <c r="AD12" i="1"/>
  <c r="AC6" i="1"/>
  <c r="AP21" i="1"/>
  <c r="AP28" i="1"/>
  <c r="AQ20" i="1"/>
  <c r="H33" i="1" l="1"/>
  <c r="I17" i="1"/>
  <c r="I29" i="1" s="1"/>
  <c r="I31" i="1" s="1"/>
  <c r="J16" i="1" s="1"/>
  <c r="I33" i="1"/>
  <c r="AC5" i="1"/>
  <c r="AB7" i="1"/>
  <c r="Y11" i="1"/>
  <c r="X13" i="1"/>
  <c r="AQ28" i="1"/>
  <c r="AR20" i="1"/>
  <c r="AD6" i="1"/>
  <c r="AE12" i="1"/>
  <c r="J17" i="1" l="1"/>
  <c r="J29" i="1" s="1"/>
  <c r="J31" i="1" s="1"/>
  <c r="K16" i="1" s="1"/>
  <c r="J33" i="1"/>
  <c r="AD5" i="1"/>
  <c r="AC7" i="1"/>
  <c r="Z11" i="1"/>
  <c r="Y13" i="1"/>
  <c r="AF12" i="1"/>
  <c r="AE6" i="1"/>
  <c r="AS20" i="1"/>
  <c r="AR28" i="1"/>
  <c r="K17" i="1" l="1"/>
  <c r="K29" i="1" s="1"/>
  <c r="K31" i="1" s="1"/>
  <c r="L16" i="1" s="1"/>
  <c r="K33" i="1"/>
  <c r="AE5" i="1"/>
  <c r="AD7" i="1"/>
  <c r="AA11" i="1"/>
  <c r="Z13" i="1"/>
  <c r="AT20" i="1"/>
  <c r="AS28" i="1"/>
  <c r="AF6" i="1"/>
  <c r="AG12" i="1"/>
  <c r="L17" i="1" l="1"/>
  <c r="L29" i="1" s="1"/>
  <c r="L31" i="1" s="1"/>
  <c r="M16" i="1" s="1"/>
  <c r="L33" i="1"/>
  <c r="AF5" i="1"/>
  <c r="AE7" i="1"/>
  <c r="AB11" i="1"/>
  <c r="AA13" i="1"/>
  <c r="AH12" i="1"/>
  <c r="AG6" i="1"/>
  <c r="AT28" i="1"/>
  <c r="AU20" i="1"/>
  <c r="M17" i="1" l="1"/>
  <c r="M29" i="1" s="1"/>
  <c r="M31" i="1" s="1"/>
  <c r="N16" i="1" s="1"/>
  <c r="M33" i="1"/>
  <c r="AG5" i="1"/>
  <c r="AF7" i="1"/>
  <c r="AC11" i="1"/>
  <c r="AB13" i="1"/>
  <c r="AH6" i="1"/>
  <c r="AU21" i="1"/>
  <c r="AU28" i="1"/>
  <c r="AV20" i="1"/>
  <c r="AI12" i="1"/>
  <c r="N17" i="1" l="1"/>
  <c r="N29" i="1" s="1"/>
  <c r="N31" i="1" s="1"/>
  <c r="O16" i="1" s="1"/>
  <c r="N33" i="1"/>
  <c r="AH5" i="1"/>
  <c r="AG7" i="1"/>
  <c r="AD11" i="1"/>
  <c r="AC13" i="1"/>
  <c r="AJ12" i="1"/>
  <c r="AW20" i="1"/>
  <c r="AV28" i="1"/>
  <c r="AI6" i="1"/>
  <c r="O17" i="1" l="1"/>
  <c r="O29" i="1" s="1"/>
  <c r="O31" i="1" s="1"/>
  <c r="P16" i="1" s="1"/>
  <c r="O33" i="1"/>
  <c r="AI5" i="1"/>
  <c r="AH7" i="1"/>
  <c r="AE11" i="1"/>
  <c r="AD13" i="1"/>
  <c r="AJ6" i="1"/>
  <c r="AW28" i="1"/>
  <c r="AX20" i="1"/>
  <c r="AK12" i="1"/>
  <c r="P17" i="1" l="1"/>
  <c r="P29" i="1" s="1"/>
  <c r="P31" i="1" s="1"/>
  <c r="Q16" i="1" s="1"/>
  <c r="P33" i="1"/>
  <c r="AJ5" i="1"/>
  <c r="AI7" i="1"/>
  <c r="AF11" i="1"/>
  <c r="AE13" i="1"/>
  <c r="AL12" i="1"/>
  <c r="AY20" i="1"/>
  <c r="AX28" i="1"/>
  <c r="AK6" i="1"/>
  <c r="Q17" i="1" l="1"/>
  <c r="Q29" i="1" s="1"/>
  <c r="Q31" i="1" s="1"/>
  <c r="R16" i="1" s="1"/>
  <c r="Q33" i="1"/>
  <c r="AK5" i="1"/>
  <c r="AJ7" i="1"/>
  <c r="AG11" i="1"/>
  <c r="AF13" i="1"/>
  <c r="AY28" i="1"/>
  <c r="AZ20" i="1"/>
  <c r="AL6" i="1"/>
  <c r="AM12" i="1"/>
  <c r="R17" i="1" l="1"/>
  <c r="R29" i="1" s="1"/>
  <c r="R31" i="1" s="1"/>
  <c r="S16" i="1" s="1"/>
  <c r="R33" i="1"/>
  <c r="AL5" i="1"/>
  <c r="AK7" i="1"/>
  <c r="AH11" i="1"/>
  <c r="AG13" i="1"/>
  <c r="AN12" i="1"/>
  <c r="AM6" i="1"/>
  <c r="AZ21" i="1"/>
  <c r="AZ28" i="1" s="1"/>
  <c r="BA20" i="1"/>
  <c r="S17" i="1" l="1"/>
  <c r="S29" i="1" s="1"/>
  <c r="S31" i="1" s="1"/>
  <c r="T16" i="1" s="1"/>
  <c r="S33" i="1"/>
  <c r="AM5" i="1"/>
  <c r="AL7" i="1"/>
  <c r="AI11" i="1"/>
  <c r="AH13" i="1"/>
  <c r="BB20" i="1"/>
  <c r="BA28" i="1"/>
  <c r="AN6" i="1"/>
  <c r="AO12" i="1"/>
  <c r="T17" i="1" l="1"/>
  <c r="T29" i="1" s="1"/>
  <c r="T31" i="1" s="1"/>
  <c r="U16" i="1" s="1"/>
  <c r="T33" i="1"/>
  <c r="AN5" i="1"/>
  <c r="AM7" i="1"/>
  <c r="AJ11" i="1"/>
  <c r="AI13" i="1"/>
  <c r="AP12" i="1"/>
  <c r="AO6" i="1"/>
  <c r="BC20" i="1"/>
  <c r="BB28" i="1"/>
  <c r="U17" i="1" l="1"/>
  <c r="U29" i="1" s="1"/>
  <c r="U31" i="1" s="1"/>
  <c r="U33" i="1"/>
  <c r="AO5" i="1"/>
  <c r="AN7" i="1"/>
  <c r="AK11" i="1"/>
  <c r="AJ13" i="1"/>
  <c r="AQ12" i="1"/>
  <c r="BD20" i="1"/>
  <c r="BC28" i="1"/>
  <c r="AP6" i="1"/>
  <c r="V16" i="1"/>
  <c r="V17" i="1" l="1"/>
  <c r="V29" i="1" s="1"/>
  <c r="V31" i="1" s="1"/>
  <c r="W16" i="1" s="1"/>
  <c r="W33" i="1" s="1"/>
  <c r="V33" i="1"/>
  <c r="AP5" i="1"/>
  <c r="AO7" i="1"/>
  <c r="AL11" i="1"/>
  <c r="AK13" i="1"/>
  <c r="AQ6" i="1"/>
  <c r="BD28" i="1"/>
  <c r="BE20" i="1"/>
  <c r="AR12" i="1"/>
  <c r="W17" i="1"/>
  <c r="W29" i="1" s="1"/>
  <c r="W31" i="1" s="1"/>
  <c r="X16" i="1" s="1"/>
  <c r="X17" i="1" l="1"/>
  <c r="X29" i="1" s="1"/>
  <c r="X31" i="1" s="1"/>
  <c r="Y16" i="1" s="1"/>
  <c r="X33" i="1"/>
  <c r="AQ5" i="1"/>
  <c r="AP7" i="1"/>
  <c r="AM11" i="1"/>
  <c r="AL13" i="1"/>
  <c r="AS12" i="1"/>
  <c r="BF20" i="1"/>
  <c r="BE21" i="1"/>
  <c r="BE28" i="1" s="1"/>
  <c r="AR6" i="1"/>
  <c r="Y17" i="1" l="1"/>
  <c r="Y29" i="1" s="1"/>
  <c r="Y31" i="1" s="1"/>
  <c r="Z16" i="1" s="1"/>
  <c r="Y33" i="1"/>
  <c r="AR5" i="1"/>
  <c r="AQ7" i="1"/>
  <c r="AN11" i="1"/>
  <c r="AM13" i="1"/>
  <c r="AS6" i="1"/>
  <c r="BG20" i="1"/>
  <c r="BF28" i="1"/>
  <c r="AT12" i="1"/>
  <c r="Z17" i="1" l="1"/>
  <c r="Z29" i="1" s="1"/>
  <c r="Z31" i="1" s="1"/>
  <c r="AA16" i="1" s="1"/>
  <c r="Z33" i="1"/>
  <c r="AS5" i="1"/>
  <c r="AR7" i="1"/>
  <c r="AO11" i="1"/>
  <c r="AN13" i="1"/>
  <c r="AU12" i="1"/>
  <c r="BG28" i="1"/>
  <c r="BH20" i="1"/>
  <c r="AT6" i="1"/>
  <c r="AA17" i="1" l="1"/>
  <c r="AA29" i="1" s="1"/>
  <c r="AA31" i="1" s="1"/>
  <c r="AB16" i="1" s="1"/>
  <c r="AA33" i="1"/>
  <c r="AT5" i="1"/>
  <c r="AS7" i="1"/>
  <c r="AP11" i="1"/>
  <c r="AO13" i="1"/>
  <c r="AU6" i="1"/>
  <c r="BH28" i="1"/>
  <c r="BI20" i="1"/>
  <c r="AV12" i="1"/>
  <c r="AB17" i="1" l="1"/>
  <c r="AB29" i="1" s="1"/>
  <c r="AB31" i="1" s="1"/>
  <c r="AC16" i="1" s="1"/>
  <c r="AB33" i="1"/>
  <c r="AU5" i="1"/>
  <c r="AT7" i="1"/>
  <c r="AQ11" i="1"/>
  <c r="AP13" i="1"/>
  <c r="AW12" i="1"/>
  <c r="BJ20" i="1"/>
  <c r="BI28" i="1"/>
  <c r="AV6" i="1"/>
  <c r="AC17" i="1" l="1"/>
  <c r="AC29" i="1" s="1"/>
  <c r="AC31" i="1" s="1"/>
  <c r="AD16" i="1" s="1"/>
  <c r="AC33" i="1"/>
  <c r="AV5" i="1"/>
  <c r="AU7" i="1"/>
  <c r="AR11" i="1"/>
  <c r="AQ13" i="1"/>
  <c r="AW6" i="1"/>
  <c r="BJ21" i="1"/>
  <c r="BJ28" i="1" s="1"/>
  <c r="BK20" i="1"/>
  <c r="AX12" i="1"/>
  <c r="AD17" i="1" l="1"/>
  <c r="AD29" i="1" s="1"/>
  <c r="AD31" i="1" s="1"/>
  <c r="AE16" i="1" s="1"/>
  <c r="AD33" i="1"/>
  <c r="AW5" i="1"/>
  <c r="AV7" i="1"/>
  <c r="AS11" i="1"/>
  <c r="AR13" i="1"/>
  <c r="AY12" i="1"/>
  <c r="BL20" i="1"/>
  <c r="BK28" i="1"/>
  <c r="AX6" i="1"/>
  <c r="AE17" i="1" l="1"/>
  <c r="AE29" i="1" s="1"/>
  <c r="AE31" i="1" s="1"/>
  <c r="AF16" i="1" s="1"/>
  <c r="AE33" i="1"/>
  <c r="AX5" i="1"/>
  <c r="AW7" i="1"/>
  <c r="AT11" i="1"/>
  <c r="AS13" i="1"/>
  <c r="AY6" i="1"/>
  <c r="BM20" i="1"/>
  <c r="BL28" i="1"/>
  <c r="AZ12" i="1"/>
  <c r="AF17" i="1" l="1"/>
  <c r="AF29" i="1" s="1"/>
  <c r="AF31" i="1" s="1"/>
  <c r="AG16" i="1" s="1"/>
  <c r="AF33" i="1"/>
  <c r="AY5" i="1"/>
  <c r="AX7" i="1"/>
  <c r="AU11" i="1"/>
  <c r="AT13" i="1"/>
  <c r="BA12" i="1"/>
  <c r="AZ6" i="1"/>
  <c r="BN20" i="1"/>
  <c r="BM28" i="1"/>
  <c r="AG17" i="1" l="1"/>
  <c r="AG29" i="1" s="1"/>
  <c r="AG31" i="1" s="1"/>
  <c r="AH16" i="1" s="1"/>
  <c r="AG33" i="1"/>
  <c r="AZ5" i="1"/>
  <c r="AY7" i="1"/>
  <c r="AV11" i="1"/>
  <c r="AU13" i="1"/>
  <c r="BO20" i="1"/>
  <c r="BN28" i="1"/>
  <c r="BA6" i="1"/>
  <c r="BB12" i="1"/>
  <c r="AH17" i="1" l="1"/>
  <c r="AH29" i="1" s="1"/>
  <c r="AH31" i="1" s="1"/>
  <c r="AI16" i="1" s="1"/>
  <c r="AH33" i="1"/>
  <c r="BA5" i="1"/>
  <c r="AZ7" i="1"/>
  <c r="AW11" i="1"/>
  <c r="AV13" i="1"/>
  <c r="BB6" i="1"/>
  <c r="BP20" i="1"/>
  <c r="BO21" i="1"/>
  <c r="BO28" i="1" s="1"/>
  <c r="BC12" i="1"/>
  <c r="AI17" i="1" l="1"/>
  <c r="AI29" i="1" s="1"/>
  <c r="AI31" i="1" s="1"/>
  <c r="AJ16" i="1" s="1"/>
  <c r="AI33" i="1"/>
  <c r="BA7" i="1"/>
  <c r="BB5" i="1"/>
  <c r="AX11" i="1"/>
  <c r="AW13" i="1"/>
  <c r="BD12" i="1"/>
  <c r="BQ20" i="1"/>
  <c r="BP28" i="1"/>
  <c r="BC6" i="1"/>
  <c r="AJ17" i="1" l="1"/>
  <c r="AJ29" i="1" s="1"/>
  <c r="AJ31" i="1" s="1"/>
  <c r="AK16" i="1" s="1"/>
  <c r="AJ33" i="1"/>
  <c r="BC5" i="1"/>
  <c r="BB7" i="1"/>
  <c r="AY11" i="1"/>
  <c r="AX13" i="1"/>
  <c r="BD6" i="1"/>
  <c r="BR20" i="1"/>
  <c r="BQ28" i="1"/>
  <c r="BE12" i="1"/>
  <c r="AK17" i="1" l="1"/>
  <c r="AK29" i="1" s="1"/>
  <c r="AK31" i="1" s="1"/>
  <c r="AL16" i="1" s="1"/>
  <c r="AK33" i="1"/>
  <c r="BD5" i="1"/>
  <c r="BC7" i="1"/>
  <c r="AZ11" i="1"/>
  <c r="AY13" i="1"/>
  <c r="BS20" i="1"/>
  <c r="BR28" i="1"/>
  <c r="BF12" i="1"/>
  <c r="BE6" i="1"/>
  <c r="AL33" i="1" l="1"/>
  <c r="AL17" i="1"/>
  <c r="AL29" i="1" s="1"/>
  <c r="AL31" i="1" s="1"/>
  <c r="AM16" i="1" s="1"/>
  <c r="BD7" i="1"/>
  <c r="BE5" i="1"/>
  <c r="BA11" i="1"/>
  <c r="AZ13" i="1"/>
  <c r="BF6" i="1"/>
  <c r="BG12" i="1"/>
  <c r="BT20" i="1"/>
  <c r="BS28" i="1"/>
  <c r="AM33" i="1" l="1"/>
  <c r="AM17" i="1"/>
  <c r="AM29" i="1" s="1"/>
  <c r="AM31" i="1" s="1"/>
  <c r="AN16" i="1" s="1"/>
  <c r="BE7" i="1"/>
  <c r="BF5" i="1"/>
  <c r="BB11" i="1"/>
  <c r="BA13" i="1"/>
  <c r="BU20" i="1"/>
  <c r="BT21" i="1"/>
  <c r="BT28" i="1" s="1"/>
  <c r="BH12" i="1"/>
  <c r="BG6" i="1"/>
  <c r="AN33" i="1" l="1"/>
  <c r="AN17" i="1"/>
  <c r="AN29" i="1" s="1"/>
  <c r="AN31" i="1" s="1"/>
  <c r="AO16" i="1" s="1"/>
  <c r="BG5" i="1"/>
  <c r="BF7" i="1"/>
  <c r="BC11" i="1"/>
  <c r="BB13" i="1"/>
  <c r="BH6" i="1"/>
  <c r="BV20" i="1"/>
  <c r="BU28" i="1"/>
  <c r="BI12" i="1"/>
  <c r="AO33" i="1" l="1"/>
  <c r="AO17" i="1"/>
  <c r="AO29" i="1" s="1"/>
  <c r="AO31" i="1" s="1"/>
  <c r="AP16" i="1" s="1"/>
  <c r="BH5" i="1"/>
  <c r="BG7" i="1"/>
  <c r="BD11" i="1"/>
  <c r="BC13" i="1"/>
  <c r="BI6" i="1"/>
  <c r="BJ12" i="1"/>
  <c r="BW20" i="1"/>
  <c r="BV28" i="1"/>
  <c r="AP33" i="1" l="1"/>
  <c r="AP17" i="1"/>
  <c r="AP29" i="1" s="1"/>
  <c r="AP31" i="1" s="1"/>
  <c r="AQ16" i="1" s="1"/>
  <c r="BI5" i="1"/>
  <c r="BH7" i="1"/>
  <c r="BD13" i="1"/>
  <c r="BE11" i="1"/>
  <c r="BX20" i="1"/>
  <c r="BW28" i="1"/>
  <c r="BK12" i="1"/>
  <c r="BJ6" i="1"/>
  <c r="AQ33" i="1" l="1"/>
  <c r="AQ17" i="1"/>
  <c r="AQ29" i="1" s="1"/>
  <c r="AQ31" i="1" s="1"/>
  <c r="AR16" i="1" s="1"/>
  <c r="BJ5" i="1"/>
  <c r="BI7" i="1"/>
  <c r="BF11" i="1"/>
  <c r="BE13" i="1"/>
  <c r="BL12" i="1"/>
  <c r="BX28" i="1"/>
  <c r="BY20" i="1"/>
  <c r="BY21" i="1" s="1"/>
  <c r="BY28" i="1" s="1"/>
  <c r="BK6" i="1"/>
  <c r="AR33" i="1" l="1"/>
  <c r="AR17" i="1"/>
  <c r="AR29" i="1" s="1"/>
  <c r="AR31" i="1" s="1"/>
  <c r="AS16" i="1" s="1"/>
  <c r="BJ7" i="1"/>
  <c r="BK5" i="1"/>
  <c r="BF13" i="1"/>
  <c r="BG11" i="1"/>
  <c r="BM12" i="1"/>
  <c r="BL6" i="1"/>
  <c r="AS33" i="1" l="1"/>
  <c r="AS17" i="1"/>
  <c r="AS29" i="1" s="1"/>
  <c r="AS31" i="1" s="1"/>
  <c r="AT16" i="1" s="1"/>
  <c r="BL5" i="1"/>
  <c r="BK7" i="1"/>
  <c r="BH11" i="1"/>
  <c r="BG13" i="1"/>
  <c r="BM6" i="1"/>
  <c r="BN12" i="1"/>
  <c r="AT33" i="1" l="1"/>
  <c r="AT17" i="1"/>
  <c r="AT29" i="1" s="1"/>
  <c r="AT31" i="1" s="1"/>
  <c r="AU16" i="1" s="1"/>
  <c r="BM5" i="1"/>
  <c r="BL7" i="1"/>
  <c r="BH13" i="1"/>
  <c r="BI11" i="1"/>
  <c r="BO12" i="1"/>
  <c r="BN6" i="1"/>
  <c r="AU33" i="1" l="1"/>
  <c r="AU17" i="1"/>
  <c r="AU29" i="1" s="1"/>
  <c r="AU31" i="1" s="1"/>
  <c r="AV16" i="1" s="1"/>
  <c r="BM7" i="1"/>
  <c r="BN5" i="1"/>
  <c r="BJ11" i="1"/>
  <c r="BI13" i="1"/>
  <c r="BO6" i="1"/>
  <c r="BP12" i="1"/>
  <c r="AV33" i="1" l="1"/>
  <c r="AV17" i="1"/>
  <c r="AV29" i="1" s="1"/>
  <c r="AV31" i="1" s="1"/>
  <c r="AW16" i="1" s="1"/>
  <c r="BN7" i="1"/>
  <c r="BO5" i="1"/>
  <c r="BJ13" i="1"/>
  <c r="BK11" i="1"/>
  <c r="BQ12" i="1"/>
  <c r="BP6" i="1"/>
  <c r="AW33" i="1" l="1"/>
  <c r="AW17" i="1"/>
  <c r="AW29" i="1" s="1"/>
  <c r="AW31" i="1" s="1"/>
  <c r="AX16" i="1" s="1"/>
  <c r="BP5" i="1"/>
  <c r="BO7" i="1"/>
  <c r="BK13" i="1"/>
  <c r="BL11" i="1"/>
  <c r="BQ6" i="1"/>
  <c r="BR12" i="1"/>
  <c r="AX33" i="1" l="1"/>
  <c r="AX17" i="1"/>
  <c r="AX29" i="1" s="1"/>
  <c r="AX31" i="1" s="1"/>
  <c r="AY16" i="1" s="1"/>
  <c r="BQ5" i="1"/>
  <c r="BP7" i="1"/>
  <c r="BM11" i="1"/>
  <c r="BL13" i="1"/>
  <c r="BS12" i="1"/>
  <c r="BR6" i="1"/>
  <c r="AY33" i="1" l="1"/>
  <c r="AY17" i="1"/>
  <c r="AY29" i="1" s="1"/>
  <c r="AY31" i="1" s="1"/>
  <c r="AZ16" i="1" s="1"/>
  <c r="BQ7" i="1"/>
  <c r="BR5" i="1"/>
  <c r="BM13" i="1"/>
  <c r="BN11" i="1"/>
  <c r="BT12" i="1"/>
  <c r="BS6" i="1"/>
  <c r="AZ33" i="1" l="1"/>
  <c r="AZ17" i="1"/>
  <c r="AZ29" i="1" s="1"/>
  <c r="AZ31" i="1" s="1"/>
  <c r="BA16" i="1" s="1"/>
  <c r="BR7" i="1"/>
  <c r="BS5" i="1"/>
  <c r="BO11" i="1"/>
  <c r="BN13" i="1"/>
  <c r="BU12" i="1"/>
  <c r="BT6" i="1"/>
  <c r="BA33" i="1" l="1"/>
  <c r="BA17" i="1"/>
  <c r="BA29" i="1" s="1"/>
  <c r="BA31" i="1" s="1"/>
  <c r="BB16" i="1" s="1"/>
  <c r="BT5" i="1"/>
  <c r="BS7" i="1"/>
  <c r="BO13" i="1"/>
  <c r="BP11" i="1"/>
  <c r="BU6" i="1"/>
  <c r="BV12" i="1"/>
  <c r="BB33" i="1" l="1"/>
  <c r="BB17" i="1"/>
  <c r="BB29" i="1" s="1"/>
  <c r="BB31" i="1" s="1"/>
  <c r="BC16" i="1" s="1"/>
  <c r="BT7" i="1"/>
  <c r="BU5" i="1"/>
  <c r="BQ11" i="1"/>
  <c r="BP13" i="1"/>
  <c r="BV6" i="1"/>
  <c r="BW12" i="1"/>
  <c r="BC33" i="1" l="1"/>
  <c r="BC17" i="1"/>
  <c r="BC29" i="1" s="1"/>
  <c r="BC31" i="1" s="1"/>
  <c r="BD16" i="1" s="1"/>
  <c r="BV5" i="1"/>
  <c r="BU7" i="1"/>
  <c r="BQ13" i="1"/>
  <c r="BR11" i="1"/>
  <c r="BX12" i="1"/>
  <c r="BW6" i="1"/>
  <c r="BD33" i="1" l="1"/>
  <c r="BD17" i="1"/>
  <c r="BD29" i="1" s="1"/>
  <c r="BD31" i="1" s="1"/>
  <c r="BE16" i="1" s="1"/>
  <c r="BW5" i="1"/>
  <c r="BV7" i="1"/>
  <c r="BR13" i="1"/>
  <c r="BS11" i="1"/>
  <c r="BX6" i="1"/>
  <c r="BY12" i="1"/>
  <c r="BE33" i="1" l="1"/>
  <c r="BE17" i="1"/>
  <c r="BE29" i="1" s="1"/>
  <c r="BE31" i="1" s="1"/>
  <c r="BF16" i="1" s="1"/>
  <c r="BX5" i="1"/>
  <c r="BW7" i="1"/>
  <c r="BT11" i="1"/>
  <c r="BS13" i="1"/>
  <c r="BY6" i="1"/>
  <c r="BF33" i="1" l="1"/>
  <c r="BF17" i="1"/>
  <c r="BF29" i="1" s="1"/>
  <c r="BF31" i="1" s="1"/>
  <c r="BG16" i="1" s="1"/>
  <c r="BY5" i="1"/>
  <c r="BY7" i="1" s="1"/>
  <c r="BX7" i="1"/>
  <c r="BT13" i="1"/>
  <c r="BU11" i="1"/>
  <c r="BG33" i="1" l="1"/>
  <c r="BG17" i="1"/>
  <c r="BG29" i="1" s="1"/>
  <c r="BG31" i="1" s="1"/>
  <c r="BH16" i="1" s="1"/>
  <c r="BV11" i="1"/>
  <c r="BU13" i="1"/>
  <c r="BH33" i="1" l="1"/>
  <c r="BH17" i="1"/>
  <c r="BH29" i="1" s="1"/>
  <c r="BH31" i="1" s="1"/>
  <c r="BI16" i="1" s="1"/>
  <c r="BV13" i="1"/>
  <c r="BW11" i="1"/>
  <c r="BI33" i="1" l="1"/>
  <c r="BI17" i="1"/>
  <c r="BI29" i="1" s="1"/>
  <c r="BI31" i="1" s="1"/>
  <c r="BJ16" i="1" s="1"/>
  <c r="BX11" i="1"/>
  <c r="BW13" i="1"/>
  <c r="BJ33" i="1" l="1"/>
  <c r="BJ17" i="1"/>
  <c r="BJ29" i="1" s="1"/>
  <c r="BJ31" i="1" s="1"/>
  <c r="BK16" i="1" s="1"/>
  <c r="BX13" i="1"/>
  <c r="BY11" i="1"/>
  <c r="BY13" i="1" s="1"/>
  <c r="BK33" i="1" l="1"/>
  <c r="BK17" i="1"/>
  <c r="BK29" i="1" s="1"/>
  <c r="BK31" i="1" s="1"/>
  <c r="BL16" i="1" s="1"/>
  <c r="BL33" i="1" l="1"/>
  <c r="BL17" i="1"/>
  <c r="BL29" i="1" s="1"/>
  <c r="BL31" i="1" s="1"/>
  <c r="BM16" i="1" s="1"/>
  <c r="BM33" i="1" l="1"/>
  <c r="BM17" i="1"/>
  <c r="BM29" i="1" s="1"/>
  <c r="BM31" i="1" s="1"/>
  <c r="BN16" i="1" s="1"/>
  <c r="BN33" i="1" l="1"/>
  <c r="BN17" i="1"/>
  <c r="BN29" i="1" s="1"/>
  <c r="BN31" i="1" s="1"/>
  <c r="BO16" i="1" s="1"/>
  <c r="BO33" i="1" l="1"/>
  <c r="BO17" i="1"/>
  <c r="BO29" i="1" s="1"/>
  <c r="BO31" i="1" s="1"/>
  <c r="BP16" i="1" s="1"/>
  <c r="BP33" i="1" l="1"/>
  <c r="BP17" i="1"/>
  <c r="BP29" i="1" s="1"/>
  <c r="BP31" i="1" s="1"/>
  <c r="BQ16" i="1" s="1"/>
  <c r="BQ33" i="1" l="1"/>
  <c r="BQ17" i="1"/>
  <c r="BQ29" i="1" s="1"/>
  <c r="BQ31" i="1" s="1"/>
  <c r="BR16" i="1" s="1"/>
  <c r="BR33" i="1" l="1"/>
  <c r="BR17" i="1"/>
  <c r="BR29" i="1" s="1"/>
  <c r="BR31" i="1" s="1"/>
  <c r="BS16" i="1" s="1"/>
  <c r="BS33" i="1" l="1"/>
  <c r="BS17" i="1"/>
  <c r="BS29" i="1" s="1"/>
  <c r="BS31" i="1" s="1"/>
  <c r="BT16" i="1" s="1"/>
  <c r="BT33" i="1" l="1"/>
  <c r="BT17" i="1"/>
  <c r="BT29" i="1" s="1"/>
  <c r="BT31" i="1" s="1"/>
  <c r="BU16" i="1" s="1"/>
  <c r="BU33" i="1" l="1"/>
  <c r="BU17" i="1"/>
  <c r="BU29" i="1" s="1"/>
  <c r="BU31" i="1" s="1"/>
  <c r="BV16" i="1" s="1"/>
  <c r="BV33" i="1" l="1"/>
  <c r="BV17" i="1"/>
  <c r="BV29" i="1" s="1"/>
  <c r="BV31" i="1" s="1"/>
  <c r="BW16" i="1" s="1"/>
  <c r="BW33" i="1" l="1"/>
  <c r="BW17" i="1"/>
  <c r="BW29" i="1" s="1"/>
  <c r="BW31" i="1" s="1"/>
  <c r="BX16" i="1" s="1"/>
  <c r="BX33" i="1" l="1"/>
  <c r="BX17" i="1"/>
  <c r="BX29" i="1" s="1"/>
  <c r="BX31" i="1" s="1"/>
  <c r="BY16" i="1" s="1"/>
  <c r="BY33" i="1" l="1"/>
  <c r="BY17" i="1"/>
  <c r="BY29" i="1" s="1"/>
  <c r="BY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tc={6A1EA7A2-FAE9-408E-B848-E139E264956A}</author>
  </authors>
  <commentList>
    <comment ref="B5" authorId="0" shapeId="0" xr:uid="{6A1EA7A2-FAE9-408E-B848-E139E264956A}">
      <text>
        <t xml:space="preserve">[Threaded comment]
Your version of Excel allows you to read this threaded comment; however, any edits to it will get removed if the file is opened in a newer version of Excel. Learn more: https://go.microsoft.com/fwlink/?linkid=870924
Comment: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tc={6D8414E9-78D4-419F-8BA9-4F8411DD7713}</author>
    <author>tc={B14E8FFF-2F6F-4E43-A503-4335606087C7}</author>
    <author>tc={7A93F215-BBAE-4BCF-92D8-DCDD5C168665}</author>
    <author>tc={3025772F-9C35-40B5-9014-F586141FB6C6}</author>
    <author>tc={A284B80F-F435-4CC2-9EF5-6AE9D8BEAB2D}</author>
    <author>tc={5C8CA86D-2BFB-4018-A266-77398129A67B}</author>
  </authors>
  <commentList>
    <comment ref="A9" authorId="0" shapeId="0" xr:uid="{6D8414E9-78D4-419F-8BA9-4F8411DD7713}">
      <text>
        <t>[Threaded comment]
Your version of Excel allows you to read this threaded comment; however, any edits to it will get removed if the file is opened in a newer version of Excel. Learn more: https://go.microsoft.com/fwlink/?linkid=870924
Comment:
    Grave openings of Pre-purchased plots; burial estimated based off of US actuarial tables</t>
      </text>
    </comment>
    <comment ref="A10" authorId="1" shapeId="0" xr:uid="{B14E8FFF-2F6F-4E43-A503-4335606087C7}">
      <text>
        <t>[Threaded comment]
Your version of Excel allows you to read this threaded comment; however, any edits to it will get removed if the file is opened in a newer version of Excel. Learn more: https://go.microsoft.com/fwlink/?linkid=870924
Comment:
    Plots purchased at time of death</t>
      </text>
    </comment>
    <comment ref="A26" authorId="2" shapeId="0" xr:uid="{7A93F215-BBAE-4BCF-92D8-DCDD5C168665}">
      <text>
        <t>[Threaded comment]
Your version of Excel allows you to read this threaded comment; however, any edits to it will get removed if the file is opened in a newer version of Excel. Learn more: https://go.microsoft.com/fwlink/?linkid=870924
Comment:
    Website; Ground settling repairs; damage to monuments, etc</t>
      </text>
    </comment>
    <comment ref="A27" authorId="3" shapeId="0" xr:uid="{3025772F-9C35-40B5-9014-F586141FB6C6}">
      <text>
        <t>[Threaded comment]
Your version of Excel allows you to read this threaded comment; however, any edits to it will get removed if the file is opened in a newer version of Excel. Learn more: https://go.microsoft.com/fwlink/?linkid=870924
Comment:
    Fee paid per grave opening</t>
      </text>
    </comment>
    <comment ref="B27" authorId="4" shapeId="0" xr:uid="{A284B80F-F435-4CC2-9EF5-6AE9D8BEAB2D}">
      <text>
        <t>[Threaded comment]
Your version of Excel allows you to read this threaded comment; however, any edits to it will get removed if the file is opened in a newer version of Excel. Learn more: https://go.microsoft.com/fwlink/?linkid=870924
Comment:
    Fee paid to liaison for meeting family at cemetery, marking grave. Etc. Annual growth rate for liasion uses miscellaneous rate</t>
      </text>
    </comment>
    <comment ref="A33" authorId="5" shapeId="0" xr:uid="{5C8CA86D-2BFB-4018-A266-77398129A67B}">
      <text>
        <t>[Threaded comment]
Your version of Excel allows you to read this threaded comment; however, any edits to it will get removed if the file is opened in a newer version of Excel. Learn more: https://go.microsoft.com/fwlink/?linkid=870924
Comment:
    Cemetery is essentially self-sustaining (no operating revenue sources needed) once this reaches 100%</t>
      </text>
    </comment>
  </commentList>
</comments>
</file>

<file path=xl/sharedStrings.xml><?xml version="1.0" encoding="utf-8"?>
<sst xmlns="http://schemas.openxmlformats.org/spreadsheetml/2006/main" count="277" uniqueCount="255">
  <si>
    <t>Year 1</t>
  </si>
  <si>
    <t xml:space="preserve"> 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</si>
  <si>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</si>
  <si>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</si>
  <si>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</si>
  <si>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</si>
  <si>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</si>
  <si>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</si>
  <si>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</si>
  <si>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</si>
  <si>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</si>
  <si>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</si>
  <si>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</si>
  <si>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</si>
  <si>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</si>
  <si>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</si>
  <si>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</si>
  <si>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</si>
  <si>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</si>
  <si>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</si>
  <si>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Price/Plot</t>
  </si>
  <si>
    <t>Plot Revenue</t>
  </si>
  <si>
    <t>Total Revenue</t>
  </si>
  <si>
    <t>Operating Expenses</t>
  </si>
  <si>
    <t>Landscaping</t>
  </si>
  <si>
    <t>Insurance</t>
  </si>
  <si>
    <t>Legal</t>
  </si>
  <si>
    <t>Accounting</t>
  </si>
  <si>
    <t>Investment Income</t>
  </si>
  <si>
    <t>Grave Opening Revenue</t>
  </si>
  <si>
    <t>Net Income</t>
  </si>
  <si>
    <t>Cash Position</t>
  </si>
  <si>
    <t>Electricity/Water</t>
  </si>
  <si>
    <t>Miscellaneous</t>
  </si>
  <si>
    <t>Annual Plots Sold</t>
  </si>
  <si>
    <t>Cummulative Grave Openings</t>
  </si>
  <si>
    <t>Cummulative Plots Sold</t>
  </si>
  <si>
    <t>Year 21</t>
  </si>
  <si>
    <t>Name</t>
  </si>
  <si>
    <t>Age</t>
  </si>
  <si>
    <t>Exact Age</t>
  </si>
  <si>
    <t>Male</t>
  </si>
  <si>
    <t>Female</t>
  </si>
  <si>
    <t>MALE</t>
  </si>
  <si>
    <t>FEMALE</t>
  </si>
  <si>
    <t>Sex</t>
  </si>
  <si>
    <t>Estimated # Yrs to Live</t>
  </si>
  <si>
    <t>Dennis Pantazis</t>
  </si>
  <si>
    <t>Libby Pantazis</t>
  </si>
  <si>
    <t>DG Pantazis</t>
  </si>
  <si>
    <t>Sarah Pantazis</t>
  </si>
  <si>
    <t>Lee Pantazis</t>
  </si>
  <si>
    <t>Haley Pantazis</t>
  </si>
  <si>
    <t>Evan Pantazis</t>
  </si>
  <si>
    <t>Christina Pantazis</t>
  </si>
  <si>
    <t xml:space="preserve">The "hybrid" endowment spending rule, often referred to as the Yale Rule, combines elements of different spending policies to achieve a balanced approach to endowment management. It typically involves weighting a moving market value component with an inflation-adjusted component from the previous year's spending. This method aims to smooth spending fluctuations while maintaining the endowment's long-term purchasing power. [1, 2, 3] </t>
  </si>
  <si>
    <t xml:space="preserve">Elaboration: [1, 2, 3] </t>
  </si>
  <si>
    <t xml:space="preserve">The hybrid rule, as exemplified by Yale University's approach, typically uses a formula that combines two key elements: [1, 2, 3] </t>
  </si>
  <si>
    <t xml:space="preserve">1. Moving Market Value Component: A portion of the spending is determined by a percentage of the endowment's market value, often using a moving average (like a three-year average) to smooth out short-term market fluctuations. </t>
  </si>
  <si>
    <t xml:space="preserve">2. Inflation-Adjusted Previous Year's Spending: Another portion is based on the previous year's spending, adjusted for inflation to maintain the real value of the endowment's contributions. </t>
  </si>
  <si>
    <t xml:space="preserve">Example: [2] </t>
  </si>
  <si>
    <t xml:space="preserve">A hybrid rule might allocate 80% of spending to the previous year's inflation-adjusted spending and 20% to a percentage of the endowment's current market value. Yale's specific rule, for instance, allocates 80% of spending to the prior year's adjusted spending and 20% to a targeted long-term spending rate applied to the previous year's beginning endowment market value. [2, 3] </t>
  </si>
  <si>
    <t xml:space="preserve">Benefits of the Hybrid Rule: [1, 2] </t>
  </si>
  <si>
    <t xml:space="preserve">Smoothing: By combining a moving market value component and a prior year's spending, the hybrid rule helps smooth spending fluctuations, providing a more predictable and sustainable flow of funding for the institution. [1, 2] </t>
  </si>
  <si>
    <t xml:space="preserve">Long-Term Sustainability: The rule helps maintain the long-term purchasing power of the endowment by incorporating inflation adjustments and a long-term spending target. [3, 4] </t>
  </si>
  <si>
    <t xml:space="preserve">Flexibility: The hybrid approach allows for a balance between maintaining a steady level of spending and responding to changes in the endowment's market value. [1, 2, 3] </t>
  </si>
  <si>
    <t xml:space="preserve">Protection in Market Downturns: The smoothing effect of the hybrid rule can help protect the endowment during periods of market downturns by allowing for a more gradual adjustment in spending. [5, 6] </t>
  </si>
  <si>
    <t>Generative AI is experimental.</t>
  </si>
  <si>
    <t>[1] https://www.manning-napier.com/insights/how-to-create-an-endowment-spending-policy-4-rules-to-know</t>
  </si>
  <si>
    <t>[2] https://elmwealth.com/spending-like-youll-live-forever/</t>
  </si>
  <si>
    <t>[3] https://your.yale.edu/policies-procedures/policies/2202-endowment-spending-and-distributions</t>
  </si>
  <si>
    <t>[4] https://www.yale.edu/funding-yale-home/overview-yales-endowment</t>
  </si>
  <si>
    <t>[5] https://agb.org/trusteeship-article/endowment-spending-policy-often-overlooked-but-critical-to-long-term-success/</t>
  </si>
  <si>
    <t>[6] https://meketa.com/wp-content/uploads/2012/10/EF-Spending-Policy-FINAL.pdf</t>
  </si>
  <si>
    <t>Why is this a hybrid approach?</t>
  </si>
  <si>
    <t>The hybrid approach combines elements of two common spending rule types:</t>
  </si>
  <si>
    <t>1. Market Value-based: Spending is directly tied to a percentage of the current endowment's market value. </t>
  </si>
  <si>
    <t>2. Prior Year-based: Spending is based on the prior year's spending, adjusted for inflation. </t>
  </si>
  <si>
    <t>By combining these two, the Yale spending rule aims to provide a balance between a stable spending stream and responsiveness to market conditions. </t>
  </si>
  <si>
    <t>Previous year spend</t>
  </si>
  <si>
    <t>Targeted spend rate</t>
  </si>
  <si>
    <t>Total Distribution</t>
  </si>
  <si>
    <t>Inflation Adjusment</t>
  </si>
  <si>
    <t>Market Value (3 yr average)</t>
  </si>
  <si>
    <t>Grave Openings of sold plots-actuarial est.</t>
  </si>
  <si>
    <t>Grave Openings-spot purchase</t>
  </si>
  <si>
    <t>Average number of Orthodox funerals at HT-HC annually</t>
  </si>
  <si>
    <t>Current HT-HC Members</t>
  </si>
  <si>
    <t>Steve Zaharias</t>
  </si>
  <si>
    <t>Carol Zaharias</t>
  </si>
  <si>
    <t>Toula Froemelt</t>
  </si>
  <si>
    <t>Torsten Froemelt</t>
  </si>
  <si>
    <t>Linda Coleman</t>
  </si>
  <si>
    <t>Jake Walker</t>
  </si>
  <si>
    <t>Lauren Walker</t>
  </si>
  <si>
    <t>Michael Reid</t>
  </si>
  <si>
    <t>Diane Reid</t>
  </si>
  <si>
    <t>Neely Denton</t>
  </si>
  <si>
    <t>Lynn Denton</t>
  </si>
  <si>
    <t>Andrea Kantargis</t>
  </si>
  <si>
    <t>Andrea Kantargis-2</t>
  </si>
  <si>
    <t>Lynita Caudill</t>
  </si>
  <si>
    <t>year</t>
  </si>
  <si>
    <t># of funerals</t>
  </si>
  <si>
    <t>2025 to May</t>
  </si>
  <si>
    <t>My paper mailing list contains 552 households. (882 Adults, not all members)</t>
  </si>
  <si>
    <t>The accounting to the Metropolis, based on voting list for PC elections, for 2025: 560 members</t>
  </si>
  <si>
    <t>Stewardship list of 3.12.25 (only including members): 434 members (I did not count the ‘Mr’ or ‘Mrs’ if they are not member of the Orthodox church)</t>
  </si>
  <si>
    <t>(the number of stewards has gone up, but I do not have a more current list.)</t>
  </si>
  <si>
    <t>Members-</t>
  </si>
  <si>
    <t>Mortality Rate of Parish</t>
  </si>
  <si>
    <t>Grave Opening Price</t>
  </si>
  <si>
    <t>Information provided By Denise</t>
  </si>
  <si>
    <t>Investment Return/Net Fees</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</si>
  <si>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</si>
  <si>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</si>
  <si>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</si>
  <si>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</si>
  <si>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</si>
  <si>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</si>
  <si>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</si>
  <si>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</si>
  <si>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</si>
  <si>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</si>
  <si>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</si>
  <si>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</si>
  <si>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</si>
  <si>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</si>
  <si>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</si>
  <si>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</si>
  <si>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</si>
  <si>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</si>
  <si>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</si>
  <si>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</si>
  <si>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</si>
  <si>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</si>
  <si>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</si>
  <si>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</si>
  <si>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</si>
  <si>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</si>
  <si>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</si>
  <si>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</si>
  <si>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</si>
  <si>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</si>
  <si>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</si>
  <si>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</si>
  <si>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</si>
  <si>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</si>
  <si>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</si>
  <si>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</si>
  <si>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</si>
  <si>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</si>
  <si>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</si>
  <si>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</si>
  <si>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</si>
  <si>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</si>
  <si>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</si>
  <si>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</si>
  <si>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</si>
  <si>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</si>
  <si>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</si>
  <si>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</si>
  <si>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</si>
  <si>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</si>
  <si>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</si>
  <si>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</si>
  <si>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</si>
  <si>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</si>
  <si>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 xml:space="preserve">Annual Rate Increase </t>
  </si>
  <si>
    <t>Investment Policy Statement</t>
  </si>
  <si>
    <t>[Date]</t>
  </si>
  <si>
    <t>I. Introduction</t>
  </si>
  <si>
    <t>II. Statement of Purpose</t>
  </si>
  <si>
    <t>III. Governance</t>
  </si>
  <si>
    <t>Fiduciary Responsibility</t>
  </si>
  <si>
    <t>Roles and Responsibilities</t>
  </si>
  <si>
    <t>IV. Investment Objectives</t>
  </si>
  <si>
    <t>The primary investment objective is to preserve and grow the Fund’s assets to support the long-term financial needs of the cemetery. Specific goals include:</t>
  </si>
  <si>
    <t>V. Time Horizon</t>
  </si>
  <si>
    <t>The Fund has a long-term investment horizon (20+ years), as it is intended to support the cemetery in perpetuity.</t>
  </si>
  <si>
    <t>VI. Risk Tolerance</t>
  </si>
  <si>
    <t>The Fund has a moderate risk tolerance. While some volatility is acceptable in pursuit of growth, undue risk that could impair the Fund’s ability to meet its purpose should be avoided.</t>
  </si>
  <si>
    <t>VII. Asset Allocation</t>
  </si>
  <si>
    <t>The following target asset allocation serves as a guideline:</t>
  </si>
  <si>
    <t>Asset Class</t>
  </si>
  <si>
    <t>Target Allocation</t>
  </si>
  <si>
    <t>Permitted Range</t>
  </si>
  <si>
    <t>Equities</t>
  </si>
  <si>
    <t>40% – 60%</t>
  </si>
  <si>
    <t>Fixed Income</t>
  </si>
  <si>
    <t>30% – 50%</t>
  </si>
  <si>
    <t>Cash &amp; Equivalents</t>
  </si>
  <si>
    <t>0% – 20%</t>
  </si>
  <si>
    <t>Diversification across asset classes is encouraged to reduce risk.</t>
  </si>
  <si>
    <t>VIII. Investment Guidelines</t>
  </si>
  <si>
    <t>Investments must comply with all applicable laws and regulations for 501(c)(3) organizations.</t>
  </si>
  <si>
    <t>The Fund shall not invest in speculative or high-risk investments, including but not limited to commodities, derivatives, or margin accounts.</t>
  </si>
  <si>
    <t>Socially responsible investing consistent with the values of the Church is encouraged (e.g., avoiding investments in companies involved in gambling, tobacco, or weapons).</t>
  </si>
  <si>
    <t>Investments should be made with the expectation of total return, including both income and capital appreciation.</t>
  </si>
  <si>
    <t>IX. Spending Policy</t>
  </si>
  <si>
    <t>X. Performance Monitoring and Review</t>
  </si>
  <si>
    <t>Investment performance will be reviewed at least quarterly against appropriate benchmarks.</t>
  </si>
  <si>
    <t>The IPS will be reviewed annually and updated as necessary to reflect changes in objectives, market conditions, or other factors.</t>
  </si>
  <si>
    <t>XI. Adoption</t>
  </si>
  <si>
    <t>Approved by:</t>
  </si>
  <si>
    <t>Chair, Board of Trustees</t>
  </si>
  <si>
    <t>Chair, Investment Committee</t>
  </si>
  <si>
    <t>The purpose of this Investment Policy Statement (IPS) is to establish a clear understanding between the St. Paul’s Churchyard Cemetery Fund (the “Fund”) and the Investment Committee, Board of Trustees, and any investment managers regarding the investment goals and management guidelines of the Fund. This IPS is intended to provide a framework for achieving long-term growth and sustainability of the Fund, which supports the perpetual care and maintenance of the cemetery owned and operated by St. Paul’s Churchyard, a 501(c)(3) nonprofit organization.</t>
  </si>
  <si>
    <t>The Fund exists to support the long-term care, maintenance, and preservation of the St. Paul’s Churchyard cemetery, ensuring that it remains a place of dignity and respect. The Fund’s assets are to be invested prudently to generate a sustainable level of income and/or capital appreciation to support the ongoing operations of the cemetery.</t>
  </si>
  <si>
    <t>The Investment Committee, under the direction of the Board of Trustees of St. Paul’s Churchyard, has fiduciary responsibility for the oversight of the Fund’s investments. The Committee shall act in good faith and with the care that an ordinarily prudent person in a like position would exercise under similar circumstances.</t>
  </si>
  <si>
    <t>Disbursements from the Fund shall be made in accordance with a spending rule established by the Board. A common policy may be a maximum of 4% annually of the Fund’s average market value over the trailing 3 years, subject to review. The "hybrid" endowment spending rule, often referred to as the Yale Rule, shall also be used as a spending benchmark.</t>
  </si>
  <si>
    <t>This Investment Policy Statement is adopted by the Board of Trustees of St. Paul’s Churchyard on [Date].</t>
  </si>
  <si>
    <r>
      <t>St. Paul’s Churchyard</t>
    </r>
    <r>
      <rPr>
        <sz val="12"/>
        <color theme="1"/>
        <rFont val="Times New Roman"/>
        <family val="1"/>
      </rPr>
      <t xml:space="preserve"> </t>
    </r>
    <r>
      <rPr>
        <b/>
        <sz val="12"/>
        <color theme="1"/>
        <rFont val="Times New Roman"/>
        <family val="1"/>
      </rPr>
      <t>Cemetery Fund</t>
    </r>
  </si>
  <si>
    <r>
      <t>Board of Trustees</t>
    </r>
    <r>
      <rPr>
        <sz val="12"/>
        <color theme="1"/>
        <rFont val="Times New Roman"/>
        <family val="1"/>
      </rPr>
      <t>: Approves the IPS and oversees the Investment Committee.</t>
    </r>
  </si>
  <si>
    <r>
      <t>Investment Committee</t>
    </r>
    <r>
      <rPr>
        <sz val="12"/>
        <color theme="1"/>
        <rFont val="Times New Roman"/>
        <family val="1"/>
      </rPr>
      <t>: Implements the IPS, selects and monitors investment managers, and ensures compliance.</t>
    </r>
  </si>
  <si>
    <r>
      <t>Investment Managers</t>
    </r>
    <r>
      <rPr>
        <sz val="12"/>
        <color theme="1"/>
        <rFont val="Times New Roman"/>
        <family val="1"/>
      </rPr>
      <t xml:space="preserve"> (if applicable): Execute investment strategies consistent with this IPS and report performance regularly.</t>
    </r>
  </si>
  <si>
    <r>
      <t>1. Capital Preservation</t>
    </r>
    <r>
      <rPr>
        <sz val="12"/>
        <color theme="1"/>
        <rFont val="Times New Roman"/>
        <family val="1"/>
      </rPr>
      <t>: Protect the Fund’s principal over the long term.</t>
    </r>
  </si>
  <si>
    <r>
      <t>2. Income Generation</t>
    </r>
    <r>
      <rPr>
        <sz val="12"/>
        <color theme="1"/>
        <rFont val="Times New Roman"/>
        <family val="1"/>
      </rPr>
      <t>: Provide a stable source of income to fund cemetery maintenance.</t>
    </r>
  </si>
  <si>
    <r>
      <t>3. Growth of Capital</t>
    </r>
    <r>
      <rPr>
        <sz val="12"/>
        <color theme="1"/>
        <rFont val="Times New Roman"/>
        <family val="1"/>
      </rPr>
      <t>: Achieve a rate of return sufficient to offset inflation and sustain purchasing power.</t>
    </r>
  </si>
  <si>
    <t>Example of "Yale Spending Rule"</t>
  </si>
  <si>
    <t>Yale Spend Rule</t>
  </si>
  <si>
    <t>ChatGPT estimates average age of adults  at HT-HC at 58 based off of provided data</t>
  </si>
  <si>
    <t>**It would be nice to have a full census of church members</t>
  </si>
  <si>
    <t># of Lives-M</t>
  </si>
  <si>
    <t>Death Probability-M</t>
  </si>
  <si>
    <t>Life Expectancy-M</t>
  </si>
  <si>
    <t>Death Probability-F</t>
  </si>
  <si>
    <t># of Lives-F</t>
  </si>
  <si>
    <t>Life Expectancy-F</t>
  </si>
  <si>
    <t>One-Time Expenses (% of landscaping for calc. only) - 5yr increments</t>
  </si>
  <si>
    <t>Investment Income/Operating Expense</t>
  </si>
  <si>
    <t>Pre-purchased Plots</t>
  </si>
  <si>
    <t>Grave Opening Estimate</t>
  </si>
  <si>
    <t>This tab displays all indivuduals who have purchased plots and their estimated years to burial</t>
  </si>
  <si>
    <t>Proforma</t>
  </si>
  <si>
    <t>This data populates on the proforma tab on row 9</t>
  </si>
  <si>
    <t>Actuarial Life Table</t>
  </si>
  <si>
    <t xml:space="preserve">Life Expectancy tables from the US government. </t>
  </si>
  <si>
    <t>This data is used to determine grave opening estimate of plot owners</t>
  </si>
  <si>
    <t>Example of IPS for the 501(c)3</t>
  </si>
  <si>
    <t>Spending Rule</t>
  </si>
  <si>
    <t>Example of a spending or distribution rule known as the "Yale Rule" to limit distributions of entity to preserve capital</t>
  </si>
  <si>
    <t>Denise Notes</t>
  </si>
  <si>
    <t>Information from Denise pertaining to church membership and historical funeral counts at HT-HC</t>
  </si>
  <si>
    <t>ABOUT SPREADSHEET</t>
  </si>
  <si>
    <t>Cemetery liaison/grave opening</t>
  </si>
  <si>
    <t>Worksheet Tabs</t>
  </si>
  <si>
    <t>Description</t>
  </si>
  <si>
    <t>Plots Available- Enter value--&gt;&gt;</t>
  </si>
  <si>
    <r>
      <rPr>
        <sz val="11"/>
        <color rgb="FFFF0000"/>
        <rFont val="Aptos Narrow"/>
        <family val="2"/>
        <scheme val="minor"/>
      </rPr>
      <t>Red Font</t>
    </r>
    <r>
      <rPr>
        <sz val="11"/>
        <rFont val="Aptos Narrow"/>
        <family val="2"/>
        <scheme val="minor"/>
      </rPr>
      <t xml:space="preserve"> are Input Fields</t>
    </r>
  </si>
  <si>
    <t>Cells with a purple right-hand corner (like this cell) have notes added. Hover or click on cell to read comments</t>
  </si>
  <si>
    <r>
      <t xml:space="preserve">All cells with A </t>
    </r>
    <r>
      <rPr>
        <sz val="11"/>
        <color rgb="FFFF0000"/>
        <rFont val="Aptos Narrow"/>
        <family val="2"/>
        <scheme val="minor"/>
      </rPr>
      <t>RED</t>
    </r>
    <r>
      <rPr>
        <sz val="11"/>
        <color theme="1"/>
        <rFont val="Aptos Narrow"/>
        <family val="2"/>
        <scheme val="minor"/>
      </rPr>
      <t xml:space="preserve"> font are editable to run your own scenario analysis.</t>
    </r>
  </si>
  <si>
    <t>This shows the expected revenue, expenses and cash position for the first 75 years of the cemetery.</t>
  </si>
  <si>
    <t>Names hidden</t>
  </si>
  <si>
    <t>Avg. Life Expectancy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</si>
</sst>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0.0%"/>
    <numFmt numFmtId="166" formatCode="&quot;$&quot;#,##0.00"/>
    <numFmt numFmtId="167" formatCode=";;;"/>
    <numFmt numFmtId="168" formatCode="0.0"/>
  </numFmts>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name val="Aptos Narrow"/>
      <family val="2"/>
      <scheme val="minor"/>
    </font>
    <font>
      <sz val="11"/>
      <name val="Aptos Narrow"/>
      <family val="2"/>
      <scheme val="minor"/>
    </font>
    <font>
      <b/>
      <sz val="11"/>
      <color rgb="FFFF0000"/>
      <name val="Aptos Narrow"/>
      <family val="2"/>
      <scheme val="minor"/>
    </font>
    <font>
      <sz val="12"/>
      <color theme="1"/>
      <name val="Aptos"/>
      <family val="2"/>
    </font>
    <font>
      <b/>
      <sz val="12"/>
      <color theme="1"/>
      <name val="Times New Roman"/>
      <family val="1"/>
    </font>
    <font>
      <sz val="12"/>
      <color theme="1"/>
      <name val="Times New Roman"/>
      <family val="1"/>
    </font>
    <font>
      <b/>
      <sz val="13.5"/>
      <color theme="1"/>
      <name val="Times New Roman"/>
      <family val="1"/>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92D05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59999389629810485"/>
        <bgColor indexed="64"/>
      </patternFill>
    </fill>
  </fills>
  <borders count="14">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164" fontId="0" fillId="0" borderId="0" xfId="1" applyNumberFormat="1" applyFont="1"/>
    <xf numFmtId="0" fontId="0" fillId="0" borderId="0" xfId="0" applyAlignment="1">
      <alignment horizontal="center"/>
    </xf>
    <xf numFmtId="164" fontId="0" fillId="0" borderId="0" xfId="0" applyNumberFormat="1"/>
    <xf numFmtId="0" fontId="3" fillId="0" borderId="0" xfId="0" applyFont="1"/>
    <xf numFmtId="164" fontId="3" fillId="0" borderId="0" xfId="0" applyNumberFormat="1" applyFont="1"/>
    <xf numFmtId="0" fontId="0" fillId="0" borderId="1" xfId="0" applyBorder="1"/>
    <xf numFmtId="164" fontId="3" fillId="0" borderId="2" xfId="0" applyNumberFormat="1" applyFont="1" applyBorder="1"/>
    <xf numFmtId="9" fontId="1" fillId="0" borderId="0" xfId="2" applyFont="1" applyAlignment="1">
      <alignment horizontal="center"/>
    </xf>
    <xf numFmtId="164" fontId="0" fillId="0" borderId="1" xfId="0" applyNumberFormat="1" applyBorder="1"/>
    <xf numFmtId="9" fontId="0" fillId="0" borderId="0" xfId="0" applyNumberFormat="1"/>
    <xf numFmtId="0" fontId="0" fillId="0" borderId="1" xfId="0" applyBorder="1" applyAlignment="1">
      <alignment horizontal="center"/>
    </xf>
    <xf numFmtId="0" fontId="0" fillId="0" borderId="0" xfId="0" applyAlignment="1">
      <alignment horizontal="center" wrapText="1"/>
    </xf>
    <xf numFmtId="0" fontId="0" fillId="0" borderId="1" xfId="0" applyBorder="1" applyAlignment="1">
      <alignment horizontal="center" wrapText="1"/>
    </xf>
    <xf numFmtId="165" fontId="0" fillId="0" borderId="0" xfId="2" applyNumberFormat="1" applyFont="1" applyBorder="1" applyAlignment="1">
      <alignment horizontal="center" wrapText="1"/>
    </xf>
    <xf numFmtId="165" fontId="0" fillId="0" borderId="0" xfId="2" applyNumberFormat="1" applyFont="1" applyAlignment="1">
      <alignment horizontal="center"/>
    </xf>
    <xf numFmtId="165" fontId="3" fillId="0" borderId="0" xfId="2" applyNumberFormat="1" applyFont="1" applyAlignment="1">
      <alignment horizontal="center"/>
    </xf>
    <xf numFmtId="10" fontId="2" fillId="0" borderId="1" xfId="0" applyNumberFormat="1" applyFont="1" applyBorder="1" applyAlignment="1">
      <alignment horizontal="center"/>
    </xf>
    <xf numFmtId="164" fontId="2" fillId="0" borderId="1" xfId="1" applyNumberFormat="1" applyFont="1" applyFill="1" applyBorder="1"/>
    <xf numFmtId="3" fontId="0" fillId="0" borderId="0" xfId="0" applyNumberFormat="1"/>
    <xf numFmtId="0" fontId="0" fillId="0" borderId="0" xfId="0" applyAlignment="1">
      <alignment wrapText="1"/>
    </xf>
    <xf numFmtId="44" fontId="0" fillId="0" borderId="0" xfId="1" applyFont="1"/>
    <xf numFmtId="9" fontId="0" fillId="0" borderId="1" xfId="0" applyNumberFormat="1" applyBorder="1"/>
    <xf numFmtId="44" fontId="0" fillId="0" borderId="0" xfId="0" applyNumberFormat="1"/>
    <xf numFmtId="0" fontId="5" fillId="0" borderId="0" xfId="0" applyFont="1" applyAlignment="1">
      <alignment horizontal="center"/>
    </xf>
    <xf numFmtId="164" fontId="5" fillId="0" borderId="1" xfId="1" applyNumberFormat="1" applyFont="1" applyBorder="1"/>
    <xf numFmtId="165" fontId="3" fillId="0" borderId="0" xfId="2" applyNumberFormat="1" applyFont="1" applyBorder="1" applyAlignment="1">
      <alignment horizontal="center"/>
    </xf>
    <xf numFmtId="165" fontId="0" fillId="0" borderId="1" xfId="0" applyNumberFormat="1" applyBorder="1"/>
    <xf numFmtId="0" fontId="0" fillId="2" borderId="0" xfId="0" applyFill="1"/>
    <xf numFmtId="0" fontId="0" fillId="4" borderId="0" xfId="0" applyFill="1" applyAlignment="1">
      <alignment wrapText="1"/>
    </xf>
    <xf numFmtId="0" fontId="0" fillId="4" borderId="0" xfId="0" applyFill="1"/>
    <xf numFmtId="165" fontId="0" fillId="0" borderId="0" xfId="2" applyNumberFormat="1" applyFont="1"/>
    <xf numFmtId="0" fontId="0" fillId="0" borderId="4" xfId="0" applyBorder="1"/>
    <xf numFmtId="0" fontId="0" fillId="0" borderId="5" xfId="0" applyBorder="1"/>
    <xf numFmtId="0" fontId="0" fillId="0" borderId="6" xfId="0" applyBorder="1"/>
    <xf numFmtId="0" fontId="0" fillId="0" borderId="7" xfId="0" applyBorder="1"/>
    <xf numFmtId="0" fontId="0" fillId="2" borderId="6" xfId="0" applyFill="1" applyBorder="1"/>
    <xf numFmtId="0" fontId="0" fillId="0" borderId="8" xfId="0" applyBorder="1"/>
    <xf numFmtId="0" fontId="0" fillId="0" borderId="9" xfId="0" applyBorder="1"/>
    <xf numFmtId="0" fontId="0" fillId="0" borderId="10" xfId="0" applyBorder="1"/>
    <xf numFmtId="0" fontId="6" fillId="0" borderId="3" xfId="0" applyFont="1" applyBorder="1"/>
    <xf numFmtId="0" fontId="2" fillId="2" borderId="0" xfId="0" applyFont="1" applyFill="1" applyAlignment="1" applyProtection="1">
      <alignment horizontal="center"/>
      <protection locked="0"/>
    </xf>
    <xf numFmtId="165" fontId="0" fillId="0" borderId="0" xfId="2" applyNumberFormat="1" applyFont="1" applyAlignment="1" applyProtection="1">
      <alignment horizontal="center"/>
      <protection locked="0"/>
    </xf>
    <xf numFmtId="0" fontId="2" fillId="0" borderId="0" xfId="0" applyFont="1" applyAlignment="1" applyProtection="1">
      <alignment horizontal="center"/>
      <protection locked="0"/>
    </xf>
    <xf numFmtId="165" fontId="2" fillId="0" borderId="1" xfId="2" applyNumberFormat="1" applyFont="1" applyFill="1" applyBorder="1" applyAlignment="1" applyProtection="1">
      <alignment horizontal="center"/>
      <protection locked="0"/>
    </xf>
    <xf numFmtId="44" fontId="2" fillId="0" borderId="1" xfId="1" applyFont="1" applyFill="1" applyBorder="1" applyProtection="1">
      <protection locked="0"/>
    </xf>
    <xf numFmtId="10" fontId="2" fillId="0" borderId="0" xfId="2" applyNumberFormat="1" applyFont="1" applyFill="1" applyAlignment="1" applyProtection="1">
      <alignment horizontal="center"/>
      <protection locked="0"/>
    </xf>
    <xf numFmtId="165" fontId="2" fillId="0" borderId="0" xfId="2" applyNumberFormat="1" applyFont="1" applyAlignment="1" applyProtection="1">
      <alignment horizontal="center"/>
      <protection locked="0"/>
    </xf>
    <xf numFmtId="164" fontId="2" fillId="0" borderId="0" xfId="1" applyNumberFormat="1" applyFont="1" applyProtection="1">
      <protection locked="0"/>
    </xf>
    <xf numFmtId="166" fontId="2" fillId="0" borderId="1" xfId="1" applyNumberFormat="1" applyFont="1" applyBorder="1" applyAlignment="1" applyProtection="1">
      <alignment horizontal="center"/>
      <protection locked="0"/>
    </xf>
    <xf numFmtId="0" fontId="5" fillId="0" borderId="0" xfId="0" applyFont="1" applyAlignment="1">
      <alignment wrapText="1"/>
    </xf>
    <xf numFmtId="164" fontId="5" fillId="0" borderId="0" xfId="1" applyNumberFormat="1" applyFont="1" applyProtection="1"/>
    <xf numFmtId="0" fontId="5" fillId="0" borderId="0" xfId="0" applyFont="1"/>
    <xf numFmtId="0" fontId="8"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0" fontId="0" fillId="0" borderId="0" xfId="0" applyAlignment="1">
      <alignment horizontal="left" vertical="center" indent="1"/>
    </xf>
    <xf numFmtId="0" fontId="8" fillId="0" borderId="0" xfId="0" applyFont="1" applyAlignment="1">
      <alignment horizontal="left" vertical="center" indent="1"/>
    </xf>
    <xf numFmtId="0" fontId="8" fillId="0" borderId="0" xfId="0" applyFont="1" applyAlignment="1">
      <alignment horizontal="center" vertical="center" wrapText="1"/>
    </xf>
    <xf numFmtId="0" fontId="9" fillId="0" borderId="0" xfId="0" applyFont="1" applyAlignment="1">
      <alignment vertical="center" wrapText="1"/>
    </xf>
    <xf numFmtId="9" fontId="9" fillId="0" borderId="0" xfId="0" applyNumberFormat="1" applyFont="1" applyAlignment="1">
      <alignment vertical="center" wrapText="1"/>
    </xf>
    <xf numFmtId="0" fontId="9" fillId="0" borderId="0" xfId="0" applyFont="1" applyAlignment="1">
      <alignment horizontal="left" vertical="center" indent="1"/>
    </xf>
    <xf numFmtId="0" fontId="7" fillId="0" borderId="0" xfId="0" applyFont="1" applyAlignment="1">
      <alignment vertical="center"/>
    </xf>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6" borderId="0" xfId="0" applyFill="1" applyAlignment="1">
      <alignment wrapText="1"/>
    </xf>
    <xf numFmtId="0" fontId="0" fillId="2" borderId="0" xfId="0" applyFill="1" applyAlignment="1">
      <alignment wrapText="1"/>
    </xf>
    <xf numFmtId="0" fontId="0" fillId="5" borderId="0" xfId="0" applyFill="1" applyAlignment="1">
      <alignment wrapText="1"/>
    </xf>
    <xf numFmtId="0" fontId="0" fillId="7" borderId="0" xfId="0" applyFill="1" applyAlignment="1">
      <alignment wrapText="1"/>
    </xf>
    <xf numFmtId="0" fontId="0" fillId="8" borderId="0" xfId="0" applyFill="1" applyAlignment="1">
      <alignment wrapText="1"/>
    </xf>
    <xf numFmtId="0" fontId="0" fillId="9" borderId="0" xfId="0" applyFill="1" applyAlignment="1">
      <alignment wrapText="1"/>
    </xf>
    <xf numFmtId="0" fontId="3" fillId="0" borderId="11" xfId="0" applyFont="1" applyBorder="1"/>
    <xf numFmtId="0" fontId="3" fillId="0" borderId="11" xfId="0" applyFont="1" applyBorder="1" applyAlignment="1">
      <alignment horizontal="center"/>
    </xf>
    <xf numFmtId="0" fontId="5" fillId="2" borderId="0" xfId="0" applyFont="1" applyFill="1"/>
    <xf numFmtId="167" fontId="0" fillId="0" borderId="0" xfId="0" applyNumberFormat="1" applyProtection="1">
      <protection hidden="1"/>
    </xf>
    <xf numFmtId="168" fontId="0" fillId="0" borderId="0" xfId="0" applyNumberFormat="1"/>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center" wrapText="1"/>
    </xf>
  </cellXfs>
  <cellStyles count="3">
    <cellStyle name="Currency" xfId="1" builtinId="4"/>
    <cellStyle name="Normal" xfId="0" builtinId="0"/>
    <cellStyle name="Percent" xfId="2" builtinId="5"/>
  </cellStyles>
  <dxfs count="5">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167" formatCode=";;;"/>
      <fill>
        <patternFill patternType="none">
          <fgColor indexed="64"/>
          <bgColor indexed="65"/>
        </patternFill>
      </fill>
      <protection locked="1" hidden="1"/>
    </dxf>
    <dxf>
      <numFmt numFmtId="167" formatCode=";;;"/>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Harry Kampakis" id="{72B405D5-5BE8-4F24-9230-60592502A569}" userId="8f0a1ddb080ef25b"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E61DB2-18FE-471A-B08F-E2D61945A3A0}" name="Table1" displayName="Table1" ref="A3:D25" totalsRowShown="0">
  <autoFilter ref="A3:D25" xr:uid="{39E61DB2-18FE-471A-B08F-E2D61945A3A0}"/>
  <tableColumns count="4">
    <tableColumn id="1" xr3:uid="{96FF49F6-C724-4042-8F40-A851A2206C81}" name="Name" dataDxfId="4" totalsRowDxfId="3"/>
    <tableColumn id="5" xr3:uid="{ED27FA21-C944-43CA-8F15-C7FCC25004C8}" name="Sex"/>
    <tableColumn id="2" xr3:uid="{DD47A05E-9A5B-43BA-9DC5-A7CB5DB4EEF6}" name="Age" dataDxfId="2"/>
    <tableColumn id="3" xr3:uid="{2DC18A4C-9726-419C-A85A-5B891E3A6528}" name="Estimated # Yrs to Live" dataDxfId="1" totalsRowDxfId="0">
      <calculatedColumnFormula>ROUND(IF(Table1[[#This Row],[Sex]]="Male",_xlfn.XLOOKUP(Table1[[#This Row],[Age]],Table2[Exact Age],Table2[Life Expectancy-M]),_xlfn.XLOOKUP(Table1[[#This Row],[Age]],Table2[Exact Age],Table2[Life Expectancy-F])),0)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1B916E-6175-4C08-B20E-96AD00A5D845}" name="Table2" displayName="Table2" ref="A2:G122" totalsRowShown="0">
  <autoFilter ref="A2:G122" xr:uid="{8F1B916E-6175-4C08-B20E-96AD00A5D845}"/>
  <tableColumns count="7">
    <tableColumn id="1" xr3:uid="{74F6919E-7B4E-433B-91A4-DF752A1BC85E}" name="Exact Age"/>
    <tableColumn id="2" xr3:uid="{34D03BDB-82D7-4E4D-899D-BD05D9383076}" name="Death Probability-M"/>
    <tableColumn id="3" xr3:uid="{A77BCE48-EDBF-4B53-8E6E-6C89089EE6ED}" name="# of Lives-M"/>
    <tableColumn id="4" xr3:uid="{5AB9A149-5702-447C-8713-3B92F7D7FE3C}" name="Life Expectancy-M"/>
    <tableColumn id="5" xr3:uid="{056E08AE-0C56-4EF3-A9C7-AC416252AA8A}" name="Death Probability-F"/>
    <tableColumn id="6" xr3:uid="{6E3F52BD-7C5C-48B5-BC6C-CD3928BDAE29}" name="# of Lives-F"/>
    <tableColumn id="7" xr3:uid="{A8869BCB-33F7-4612-9E43-5D2BEBE3F3AA}" name="Life Expectancy-F"/>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5" dT="2025-05-02T02:26:11.39" personId="{72B405D5-5BE8-4F24-9230-60592502A569}" id="{6A1EA7A2-FAE9-408E-B848-E139E264956A}">
    <text xml:space="preserve"> </text>
  </threadedComment>
</ThreadedComments>
</file>

<file path=xl/threadedComments/threadedComment2.xml><?xml version="1.0" encoding="utf-8"?>
<ThreadedComments xmlns="http://schemas.microsoft.com/office/spreadsheetml/2018/threadedcomments" xmlns:x="http://schemas.openxmlformats.org/spreadsheetml/2006/main">
  <threadedComment ref="A9" dT="2025-05-02T02:11:29.59" personId="{72B405D5-5BE8-4F24-9230-60592502A569}" id="{6D8414E9-78D4-419F-8BA9-4F8411DD7713}">
    <text>Grave openings of Pre-purchased plots; burial estimated based off of US actuarial tables</text>
  </threadedComment>
  <threadedComment ref="A10" dT="2025-05-02T02:10:31.25" personId="{72B405D5-5BE8-4F24-9230-60592502A569}" id="{B14E8FFF-2F6F-4E43-A503-4335606087C7}">
    <text>Plots purchased at time of death</text>
  </threadedComment>
  <threadedComment ref="A26" dT="2025-04-26T20:26:53.27" personId="{72B405D5-5BE8-4F24-9230-60592502A569}" id="{7A93F215-BBAE-4BCF-92D8-DCDD5C168665}">
    <text>Website; Ground settling repairs; damage to monuments, etc</text>
  </threadedComment>
  <threadedComment ref="A27" dT="2025-05-02T02:57:39.20" personId="{72B405D5-5BE8-4F24-9230-60592502A569}" id="{3025772F-9C35-40B5-9014-F586141FB6C6}">
    <text>Fee paid per grave opening</text>
  </threadedComment>
  <threadedComment ref="B27" dT="2025-04-26T22:23:08.93" personId="{72B405D5-5BE8-4F24-9230-60592502A569}" id="{A284B80F-F435-4CC2-9EF5-6AE9D8BEAB2D}">
    <text>Fee paid to liaison for meeting family at cemetery, marking grave. Etc. Annual growth rate for liasion uses miscellaneous rate</text>
  </threadedComment>
  <threadedComment ref="A33" dT="2025-05-02T02:02:18.30" personId="{72B405D5-5BE8-4F24-9230-60592502A569}" id="{5C8CA86D-2BFB-4018-A266-77398129A67B}">
    <text>Cemetery is essentially self-sustaining (no operating revenue sources needed) once this reaches 100%</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B4F2D-F626-4CCA-917F-8781F94118FE}">
  <dimension ref="A1:B20"/>
  <sheetViews>
    <sheetView showGridLines="0" workbookViewId="0">
      <selection activeCell="A26" sqref="A26"/>
    </sheetView>
  </sheetViews>
  <sheetFormatPr defaultRowHeight="15" x14ac:dyDescent="0.25"/>
  <cols>
    <col min="1" max="1" width="26" bestFit="1" customWidth="1"/>
    <col min="2" max="2" width="66.140625" customWidth="1"/>
  </cols>
  <sheetData>
    <row r="1" spans="1:2" x14ac:dyDescent="0.25">
      <c r="A1" s="4" t="s">
        <v>244</v>
      </c>
    </row>
    <row r="2" spans="1:2" ht="15.75" thickBot="1" x14ac:dyDescent="0.3">
      <c r="A2" s="74" t="s">
        <v>246</v>
      </c>
      <c r="B2" s="75" t="s">
        <v>247</v>
      </c>
    </row>
    <row r="3" spans="1:2" ht="30.75" thickTop="1" x14ac:dyDescent="0.25">
      <c r="A3" s="28" t="s">
        <v>234</v>
      </c>
      <c r="B3" s="69" t="s">
        <v>252</v>
      </c>
    </row>
    <row r="4" spans="1:2" x14ac:dyDescent="0.25">
      <c r="A4" s="28"/>
      <c r="B4" s="69" t="s">
        <v>251</v>
      </c>
    </row>
    <row r="5" spans="1:2" ht="30" x14ac:dyDescent="0.25">
      <c r="A5" s="28"/>
      <c r="B5" s="69" t="s">
        <v>250</v>
      </c>
    </row>
    <row r="6" spans="1:2" x14ac:dyDescent="0.25">
      <c r="B6" s="20"/>
    </row>
    <row r="7" spans="1:2" ht="30" x14ac:dyDescent="0.25">
      <c r="A7" s="63" t="s">
        <v>232</v>
      </c>
      <c r="B7" s="70" t="s">
        <v>233</v>
      </c>
    </row>
    <row r="8" spans="1:2" x14ac:dyDescent="0.25">
      <c r="A8" s="63"/>
      <c r="B8" s="70" t="s">
        <v>235</v>
      </c>
    </row>
    <row r="9" spans="1:2" x14ac:dyDescent="0.25">
      <c r="B9" s="20"/>
    </row>
    <row r="10" spans="1:2" x14ac:dyDescent="0.25">
      <c r="A10" s="64" t="s">
        <v>236</v>
      </c>
      <c r="B10" s="68" t="s">
        <v>237</v>
      </c>
    </row>
    <row r="11" spans="1:2" x14ac:dyDescent="0.25">
      <c r="A11" s="64"/>
      <c r="B11" s="68" t="s">
        <v>238</v>
      </c>
    </row>
    <row r="12" spans="1:2" x14ac:dyDescent="0.25">
      <c r="B12" s="20"/>
    </row>
    <row r="13" spans="1:2" x14ac:dyDescent="0.25">
      <c r="A13" s="65" t="s">
        <v>169</v>
      </c>
      <c r="B13" s="71" t="s">
        <v>239</v>
      </c>
    </row>
    <row r="14" spans="1:2" x14ac:dyDescent="0.25">
      <c r="B14" s="20"/>
    </row>
    <row r="15" spans="1:2" ht="30" x14ac:dyDescent="0.25">
      <c r="A15" s="66" t="s">
        <v>240</v>
      </c>
      <c r="B15" s="72" t="s">
        <v>241</v>
      </c>
    </row>
    <row r="16" spans="1:2" x14ac:dyDescent="0.25">
      <c r="B16" s="20"/>
    </row>
    <row r="17" spans="1:2" ht="30" x14ac:dyDescent="0.25">
      <c r="A17" s="67" t="s">
        <v>242</v>
      </c>
      <c r="B17" s="73" t="s">
        <v>243</v>
      </c>
    </row>
    <row r="18" spans="1:2" x14ac:dyDescent="0.25">
      <c r="B18" s="20"/>
    </row>
    <row r="19" spans="1:2" x14ac:dyDescent="0.25">
      <c r="B19" s="20"/>
    </row>
    <row r="20" spans="1:2" x14ac:dyDescent="0.25">
      <c r="B20" s="20"/>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64FDB-745A-41B2-979C-189A4AF948BA}">
  <sheetPr>
    <tabColor rgb="FFFFFF00"/>
    <pageSetUpPr fitToPage="1"/>
  </sheetPr>
  <dimension ref="A1:BY33"/>
  <sheetViews>
    <sheetView tabSelected="1" zoomScaleNormal="100" workbookViewId="0">
      <pane xSplit="1" ySplit="3" topLeftCell="B4" activePane="bottomRight" state="frozen"/>
      <selection pane="topRight" activeCell="B1" sqref="B1"/>
      <selection pane="bottomLeft" activeCell="A4" sqref="A4"/>
      <selection pane="bottomRight" activeCell="B21" sqref="B21"/>
    </sheetView>
  </sheetViews>
  <sheetFormatPr defaultRowHeight="15" x14ac:dyDescent="0.25"/>
  <cols>
    <col min="1" max="1" width="30.28515625" customWidth="1"/>
    <col min="2" max="2" width="11.5703125" customWidth="1"/>
    <col min="3" max="3" width="10.5703125" bestFit="1" customWidth="1"/>
    <col min="4" max="22" width="12.5703125" bestFit="1" customWidth="1"/>
    <col min="23" max="31" width="10" bestFit="1" customWidth="1"/>
    <col min="32" max="48" width="11.5703125" bestFit="1" customWidth="1"/>
    <col min="49" max="52" width="12.5703125" bestFit="1" customWidth="1"/>
    <col min="53" max="77" width="11.5703125" bestFit="1" customWidth="1"/>
  </cols>
  <sheetData>
    <row r="1" spans="1:77" x14ac:dyDescent="0.25">
      <c r="A1" s="76" t="s">
        <v>248</v>
      </c>
      <c r="B1" s="41">
        <v>165</v>
      </c>
    </row>
    <row r="2" spans="1:77" x14ac:dyDescent="0.25">
      <c r="A2" s="79" t="s">
        <v>249</v>
      </c>
      <c r="B2" s="12"/>
      <c r="C2" s="2">
        <v>1</v>
      </c>
      <c r="D2" s="2">
        <v>2</v>
      </c>
      <c r="E2" s="2">
        <v>3</v>
      </c>
      <c r="F2" s="2">
        <v>4</v>
      </c>
      <c r="G2" s="2">
        <v>5</v>
      </c>
      <c r="H2" s="2">
        <v>6</v>
      </c>
      <c r="I2" s="2">
        <v>7</v>
      </c>
      <c r="J2" s="2">
        <v>8</v>
      </c>
      <c r="K2" s="2">
        <v>9</v>
      </c>
      <c r="L2" s="2">
        <v>10</v>
      </c>
      <c r="M2" s="2">
        <v>11</v>
      </c>
      <c r="N2" s="2">
        <v>12</v>
      </c>
      <c r="O2" s="2">
        <v>13</v>
      </c>
      <c r="P2" s="2">
        <v>14</v>
      </c>
      <c r="Q2" s="2">
        <v>15</v>
      </c>
      <c r="R2" s="2">
        <v>16</v>
      </c>
      <c r="S2" s="2">
        <v>17</v>
      </c>
      <c r="T2" s="2">
        <v>18</v>
      </c>
      <c r="U2" s="2">
        <v>19</v>
      </c>
      <c r="V2" s="2">
        <v>20</v>
      </c>
      <c r="W2" s="2">
        <v>21</v>
      </c>
      <c r="X2" s="2">
        <v>22</v>
      </c>
      <c r="Y2" s="2">
        <v>23</v>
      </c>
      <c r="Z2" s="2">
        <v>24</v>
      </c>
      <c r="AA2" s="2">
        <v>25</v>
      </c>
      <c r="AB2" s="2">
        <v>26</v>
      </c>
      <c r="AC2" s="2">
        <v>27</v>
      </c>
      <c r="AD2" s="2">
        <v>28</v>
      </c>
      <c r="AE2" s="2">
        <v>29</v>
      </c>
      <c r="AF2" s="2">
        <v>30</v>
      </c>
      <c r="AG2" s="2">
        <v>31</v>
      </c>
      <c r="AH2" s="2">
        <v>32</v>
      </c>
      <c r="AI2" s="2">
        <v>33</v>
      </c>
      <c r="AJ2" s="2">
        <v>34</v>
      </c>
      <c r="AK2" s="2">
        <v>35</v>
      </c>
      <c r="AL2" s="2">
        <v>36</v>
      </c>
      <c r="AM2" s="2">
        <v>37</v>
      </c>
      <c r="AN2" s="2">
        <v>38</v>
      </c>
      <c r="AO2" s="2">
        <v>39</v>
      </c>
      <c r="AP2" s="2">
        <v>40</v>
      </c>
      <c r="AQ2" s="2">
        <v>41</v>
      </c>
      <c r="AR2" s="2">
        <v>42</v>
      </c>
      <c r="AS2" s="2">
        <v>43</v>
      </c>
      <c r="AT2" s="2">
        <v>44</v>
      </c>
      <c r="AU2" s="2">
        <v>45</v>
      </c>
      <c r="AV2" s="2">
        <v>46</v>
      </c>
      <c r="AW2" s="2">
        <v>47</v>
      </c>
      <c r="AX2" s="2">
        <v>48</v>
      </c>
      <c r="AY2" s="2">
        <v>49</v>
      </c>
      <c r="AZ2" s="2">
        <v>50</v>
      </c>
      <c r="BA2" s="2">
        <v>51</v>
      </c>
      <c r="BB2" s="2">
        <v>52</v>
      </c>
      <c r="BC2" s="2">
        <v>53</v>
      </c>
      <c r="BD2" s="2">
        <v>54</v>
      </c>
      <c r="BE2" s="2">
        <v>55</v>
      </c>
      <c r="BF2" s="2">
        <v>56</v>
      </c>
      <c r="BG2" s="2">
        <v>57</v>
      </c>
      <c r="BH2" s="2">
        <v>58</v>
      </c>
      <c r="BI2" s="2">
        <v>59</v>
      </c>
      <c r="BJ2" s="2">
        <v>60</v>
      </c>
      <c r="BK2" s="2">
        <v>61</v>
      </c>
      <c r="BL2" s="2">
        <v>62</v>
      </c>
      <c r="BM2" s="2">
        <v>63</v>
      </c>
      <c r="BN2" s="2">
        <v>64</v>
      </c>
      <c r="BO2" s="2">
        <v>65</v>
      </c>
      <c r="BP2" s="2">
        <v>66</v>
      </c>
      <c r="BQ2" s="2">
        <v>67</v>
      </c>
      <c r="BR2" s="2">
        <v>68</v>
      </c>
      <c r="BS2" s="2">
        <v>69</v>
      </c>
      <c r="BT2" s="2">
        <v>70</v>
      </c>
      <c r="BU2" s="2">
        <v>71</v>
      </c>
      <c r="BV2" s="2">
        <v>72</v>
      </c>
      <c r="BW2" s="2">
        <v>73</v>
      </c>
      <c r="BX2" s="2">
        <v>74</v>
      </c>
      <c r="BY2" s="2">
        <v>75</v>
      </c>
    </row>
    <row r="3" spans="1:77" ht="30" x14ac:dyDescent="0.25">
      <c r="A3" s="80"/>
      <c r="B3" s="13" t="s">
        <v>168</v>
      </c>
      <c r="C3" s="11" t="s">
        <v>0</v>
      </c>
      <c r="D3" s="11" t="s">
        <v>1</v>
      </c>
      <c r="E3" s="11" t="s">
        <v>2</v>
      </c>
      <c r="F3" s="11" t="s">
        <v>3</v>
      </c>
      <c r="G3" s="11" t="s">
        <v>4</v>
      </c>
      <c r="H3" s="11" t="s">
        <v>5</v>
      </c>
      <c r="I3" s="11" t="s">
        <v>6</v>
      </c>
      <c r="J3" s="11" t="s">
        <v>7</v>
      </c>
      <c r="K3" s="11" t="s">
        <v>8</v>
      </c>
      <c r="L3" s="11" t="s">
        <v>9</v>
      </c>
      <c r="M3" s="11" t="s">
        <v>10</v>
      </c>
      <c r="N3" s="11" t="s">
        <v>11</v>
      </c>
      <c r="O3" s="11" t="s">
        <v>12</v>
      </c>
      <c r="P3" s="11" t="s">
        <v>13</v>
      </c>
      <c r="Q3" s="11" t="s">
        <v>14</v>
      </c>
      <c r="R3" s="11" t="s">
        <v>15</v>
      </c>
      <c r="S3" s="11" t="s">
        <v>16</v>
      </c>
      <c r="T3" s="11" t="s">
        <v>17</v>
      </c>
      <c r="U3" s="11" t="s">
        <v>18</v>
      </c>
      <c r="V3" s="11" t="s">
        <v>19</v>
      </c>
      <c r="W3" s="11" t="s">
        <v>37</v>
      </c>
      <c r="X3" s="11" t="s">
        <v>114</v>
      </c>
      <c r="Y3" s="11" t="s">
        <v>115</v>
      </c>
      <c r="Z3" s="11" t="s">
        <v>116</v>
      </c>
      <c r="AA3" s="11" t="s">
        <v>117</v>
      </c>
      <c r="AB3" s="11" t="s">
        <v>118</v>
      </c>
      <c r="AC3" s="11" t="s">
        <v>119</v>
      </c>
      <c r="AD3" s="11" t="s">
        <v>120</v>
      </c>
      <c r="AE3" s="11" t="s">
        <v>121</v>
      </c>
      <c r="AF3" s="11" t="s">
        <v>122</v>
      </c>
      <c r="AG3" s="11" t="s">
        <v>123</v>
      </c>
      <c r="AH3" s="11" t="s">
        <v>124</v>
      </c>
      <c r="AI3" s="11" t="s">
        <v>125</v>
      </c>
      <c r="AJ3" s="11" t="s">
        <v>126</v>
      </c>
      <c r="AK3" s="11" t="s">
        <v>127</v>
      </c>
      <c r="AL3" s="11" t="s">
        <v>128</v>
      </c>
      <c r="AM3" s="11" t="s">
        <v>129</v>
      </c>
      <c r="AN3" s="11" t="s">
        <v>130</v>
      </c>
      <c r="AO3" s="11" t="s">
        <v>131</v>
      </c>
      <c r="AP3" s="11" t="s">
        <v>132</v>
      </c>
      <c r="AQ3" s="11" t="s">
        <v>133</v>
      </c>
      <c r="AR3" s="11" t="s">
        <v>134</v>
      </c>
      <c r="AS3" s="11" t="s">
        <v>135</v>
      </c>
      <c r="AT3" s="11" t="s">
        <v>136</v>
      </c>
      <c r="AU3" s="11" t="s">
        <v>137</v>
      </c>
      <c r="AV3" s="11" t="s">
        <v>138</v>
      </c>
      <c r="AW3" s="11" t="s">
        <v>139</v>
      </c>
      <c r="AX3" s="11" t="s">
        <v>140</v>
      </c>
      <c r="AY3" s="11" t="s">
        <v>141</v>
      </c>
      <c r="AZ3" s="11" t="s">
        <v>142</v>
      </c>
      <c r="BA3" s="11" t="s">
        <v>143</v>
      </c>
      <c r="BB3" s="11" t="s">
        <v>144</v>
      </c>
      <c r="BC3" s="11" t="s">
        <v>145</v>
      </c>
      <c r="BD3" s="11" t="s">
        <v>146</v>
      </c>
      <c r="BE3" s="11" t="s">
        <v>147</v>
      </c>
      <c r="BF3" s="11" t="s">
        <v>148</v>
      </c>
      <c r="BG3" s="11" t="s">
        <v>149</v>
      </c>
      <c r="BH3" s="11" t="s">
        <v>150</v>
      </c>
      <c r="BI3" s="11" t="s">
        <v>151</v>
      </c>
      <c r="BJ3" s="11" t="s">
        <v>152</v>
      </c>
      <c r="BK3" s="11" t="s">
        <v>153</v>
      </c>
      <c r="BL3" s="11" t="s">
        <v>154</v>
      </c>
      <c r="BM3" s="11" t="s">
        <v>155</v>
      </c>
      <c r="BN3" s="11" t="s">
        <v>156</v>
      </c>
      <c r="BO3" s="11" t="s">
        <v>157</v>
      </c>
      <c r="BP3" s="11" t="s">
        <v>158</v>
      </c>
      <c r="BQ3" s="11" t="s">
        <v>159</v>
      </c>
      <c r="BR3" s="11" t="s">
        <v>160</v>
      </c>
      <c r="BS3" s="11" t="s">
        <v>161</v>
      </c>
      <c r="BT3" s="11" t="s">
        <v>162</v>
      </c>
      <c r="BU3" s="11" t="s">
        <v>163</v>
      </c>
      <c r="BV3" s="11" t="s">
        <v>164</v>
      </c>
      <c r="BW3" s="11" t="s">
        <v>165</v>
      </c>
      <c r="BX3" s="11" t="s">
        <v>166</v>
      </c>
      <c r="BY3" s="11" t="s">
        <v>167</v>
      </c>
    </row>
    <row r="4" spans="1:77" x14ac:dyDescent="0.25">
      <c r="A4" t="s">
        <v>34</v>
      </c>
      <c r="B4" s="42"/>
      <c r="C4" s="43">
        <v>40</v>
      </c>
      <c r="D4" s="43">
        <v>8</v>
      </c>
      <c r="E4" s="43">
        <v>6</v>
      </c>
      <c r="F4" s="43">
        <v>6</v>
      </c>
      <c r="G4" s="43">
        <v>4</v>
      </c>
      <c r="H4" s="43">
        <v>4</v>
      </c>
      <c r="I4" s="43">
        <v>4</v>
      </c>
      <c r="J4" s="43">
        <v>4</v>
      </c>
      <c r="K4" s="43">
        <v>2</v>
      </c>
      <c r="L4" s="43">
        <v>2</v>
      </c>
      <c r="M4" s="43">
        <v>2</v>
      </c>
      <c r="N4" s="43">
        <v>2</v>
      </c>
      <c r="O4" s="43">
        <v>2</v>
      </c>
      <c r="P4" s="43">
        <v>2</v>
      </c>
      <c r="Q4" s="43">
        <v>2</v>
      </c>
      <c r="R4" s="43">
        <v>2</v>
      </c>
      <c r="S4" s="43">
        <v>2</v>
      </c>
      <c r="T4" s="43">
        <v>2</v>
      </c>
      <c r="U4" s="43">
        <v>2</v>
      </c>
      <c r="V4" s="43">
        <v>2</v>
      </c>
      <c r="W4" s="43">
        <v>2</v>
      </c>
      <c r="X4" s="43">
        <v>2</v>
      </c>
      <c r="Y4" s="43">
        <v>2</v>
      </c>
      <c r="Z4" s="43">
        <v>2</v>
      </c>
      <c r="AA4" s="43">
        <v>2</v>
      </c>
      <c r="AB4" s="43">
        <v>2</v>
      </c>
      <c r="AC4" s="43">
        <v>2</v>
      </c>
      <c r="AD4" s="43">
        <v>2</v>
      </c>
      <c r="AE4" s="43">
        <v>2</v>
      </c>
      <c r="AF4" s="43">
        <v>2</v>
      </c>
      <c r="AG4" s="43">
        <v>2</v>
      </c>
      <c r="AH4" s="43">
        <v>2</v>
      </c>
      <c r="AI4" s="43">
        <v>2</v>
      </c>
      <c r="AJ4" s="43">
        <v>2</v>
      </c>
      <c r="AK4" s="43">
        <v>2</v>
      </c>
      <c r="AL4" s="43">
        <v>2</v>
      </c>
      <c r="AM4" s="43">
        <v>2</v>
      </c>
      <c r="AN4" s="43">
        <v>2</v>
      </c>
      <c r="AO4" s="43">
        <v>2</v>
      </c>
      <c r="AP4" s="43">
        <v>2</v>
      </c>
      <c r="AQ4" s="43">
        <v>2</v>
      </c>
      <c r="AR4" s="43">
        <v>2</v>
      </c>
      <c r="AS4" s="43">
        <v>2</v>
      </c>
      <c r="AT4" s="43">
        <v>2</v>
      </c>
      <c r="AU4" s="43">
        <v>2</v>
      </c>
      <c r="AV4" s="43">
        <v>2</v>
      </c>
      <c r="AW4" s="43">
        <v>2</v>
      </c>
      <c r="AX4" s="43">
        <v>2</v>
      </c>
      <c r="AY4" s="43">
        <v>2</v>
      </c>
      <c r="AZ4" s="43">
        <v>2</v>
      </c>
      <c r="BA4" s="43">
        <v>2</v>
      </c>
      <c r="BB4" s="43">
        <v>2</v>
      </c>
      <c r="BC4" s="43">
        <v>1</v>
      </c>
      <c r="BD4" s="43"/>
      <c r="BE4" s="43"/>
      <c r="BF4" s="43"/>
      <c r="BG4" s="43"/>
      <c r="BH4" s="43"/>
      <c r="BI4" s="43"/>
      <c r="BJ4" s="43"/>
      <c r="BK4" s="43"/>
      <c r="BL4" s="43"/>
      <c r="BM4" s="43"/>
      <c r="BN4" s="43"/>
      <c r="BO4" s="43"/>
      <c r="BP4" s="43"/>
      <c r="BQ4" s="43"/>
      <c r="BR4" s="43"/>
      <c r="BS4" s="43"/>
      <c r="BT4" s="43"/>
      <c r="BU4" s="43"/>
      <c r="BV4" s="43"/>
      <c r="BW4" s="43"/>
      <c r="BX4" s="43"/>
      <c r="BY4" s="43"/>
    </row>
    <row r="5" spans="1:77" x14ac:dyDescent="0.25">
      <c r="A5" t="s">
        <v>36</v>
      </c>
      <c r="B5" s="14"/>
      <c r="C5" s="2">
        <f>IF(C4&gt;B1,B1,C4)</f>
        <v>40</v>
      </c>
      <c r="D5" s="2">
        <f>IF(C5+D4&gt;$B$1,$B$1,C5+D4)</f>
        <v>48</v>
      </c>
      <c r="E5" s="2">
        <f>IF(D5+E4&gt;$B$1,$B$1,D5+E4)</f>
        <v>54</v>
      </c>
      <c r="F5" s="2">
        <f t="shared" ref="F5:BQ5" si="0">IF(E5+F4&gt;$B$1,$B$1,E5+F4)</f>
        <v>60</v>
      </c>
      <c r="G5" s="2">
        <f t="shared" si="0"/>
        <v>64</v>
      </c>
      <c r="H5" s="2">
        <f t="shared" si="0"/>
        <v>68</v>
      </c>
      <c r="I5" s="2">
        <f t="shared" si="0"/>
        <v>72</v>
      </c>
      <c r="J5" s="2">
        <f t="shared" si="0"/>
        <v>76</v>
      </c>
      <c r="K5" s="2">
        <f t="shared" si="0"/>
        <v>78</v>
      </c>
      <c r="L5" s="2">
        <f t="shared" si="0"/>
        <v>80</v>
      </c>
      <c r="M5" s="2">
        <f t="shared" si="0"/>
        <v>82</v>
      </c>
      <c r="N5" s="2">
        <f t="shared" si="0"/>
        <v>84</v>
      </c>
      <c r="O5" s="2">
        <f t="shared" si="0"/>
        <v>86</v>
      </c>
      <c r="P5" s="2">
        <f t="shared" si="0"/>
        <v>88</v>
      </c>
      <c r="Q5" s="2">
        <f t="shared" si="0"/>
        <v>90</v>
      </c>
      <c r="R5" s="2">
        <f t="shared" si="0"/>
        <v>92</v>
      </c>
      <c r="S5" s="2">
        <f t="shared" si="0"/>
        <v>94</v>
      </c>
      <c r="T5" s="2">
        <f t="shared" si="0"/>
        <v>96</v>
      </c>
      <c r="U5" s="2">
        <f t="shared" si="0"/>
        <v>98</v>
      </c>
      <c r="V5" s="2">
        <f t="shared" si="0"/>
        <v>100</v>
      </c>
      <c r="W5" s="2">
        <f t="shared" si="0"/>
        <v>102</v>
      </c>
      <c r="X5" s="2">
        <f t="shared" si="0"/>
        <v>104</v>
      </c>
      <c r="Y5" s="2">
        <f t="shared" si="0"/>
        <v>106</v>
      </c>
      <c r="Z5" s="2">
        <f t="shared" si="0"/>
        <v>108</v>
      </c>
      <c r="AA5" s="2">
        <f t="shared" si="0"/>
        <v>110</v>
      </c>
      <c r="AB5" s="2">
        <f t="shared" si="0"/>
        <v>112</v>
      </c>
      <c r="AC5" s="2">
        <f t="shared" si="0"/>
        <v>114</v>
      </c>
      <c r="AD5" s="2">
        <f>IF(AC5+AD4&gt;$B$1,$B$1,AC5+AD4)</f>
        <v>116</v>
      </c>
      <c r="AE5" s="2">
        <f t="shared" si="0"/>
        <v>118</v>
      </c>
      <c r="AF5" s="2">
        <f t="shared" si="0"/>
        <v>120</v>
      </c>
      <c r="AG5" s="2">
        <f t="shared" si="0"/>
        <v>122</v>
      </c>
      <c r="AH5" s="2">
        <f t="shared" si="0"/>
        <v>124</v>
      </c>
      <c r="AI5" s="2">
        <f t="shared" si="0"/>
        <v>126</v>
      </c>
      <c r="AJ5" s="2">
        <f t="shared" si="0"/>
        <v>128</v>
      </c>
      <c r="AK5" s="2">
        <f t="shared" si="0"/>
        <v>130</v>
      </c>
      <c r="AL5" s="2">
        <f t="shared" si="0"/>
        <v>132</v>
      </c>
      <c r="AM5" s="2">
        <f t="shared" si="0"/>
        <v>134</v>
      </c>
      <c r="AN5" s="2">
        <f t="shared" si="0"/>
        <v>136</v>
      </c>
      <c r="AO5" s="2">
        <f t="shared" si="0"/>
        <v>138</v>
      </c>
      <c r="AP5" s="2">
        <f t="shared" si="0"/>
        <v>140</v>
      </c>
      <c r="AQ5" s="2">
        <f t="shared" si="0"/>
        <v>142</v>
      </c>
      <c r="AR5" s="2">
        <f t="shared" si="0"/>
        <v>144</v>
      </c>
      <c r="AS5" s="2">
        <f t="shared" si="0"/>
        <v>146</v>
      </c>
      <c r="AT5" s="2">
        <f t="shared" si="0"/>
        <v>148</v>
      </c>
      <c r="AU5" s="2">
        <f t="shared" si="0"/>
        <v>150</v>
      </c>
      <c r="AV5" s="2">
        <f t="shared" si="0"/>
        <v>152</v>
      </c>
      <c r="AW5" s="2">
        <f t="shared" si="0"/>
        <v>154</v>
      </c>
      <c r="AX5" s="2">
        <f t="shared" si="0"/>
        <v>156</v>
      </c>
      <c r="AY5" s="2">
        <f t="shared" si="0"/>
        <v>158</v>
      </c>
      <c r="AZ5" s="2">
        <f t="shared" si="0"/>
        <v>160</v>
      </c>
      <c r="BA5" s="2">
        <f t="shared" si="0"/>
        <v>162</v>
      </c>
      <c r="BB5" s="2">
        <f t="shared" si="0"/>
        <v>164</v>
      </c>
      <c r="BC5" s="2">
        <f t="shared" si="0"/>
        <v>165</v>
      </c>
      <c r="BD5" s="2">
        <f t="shared" si="0"/>
        <v>165</v>
      </c>
      <c r="BE5" s="2">
        <f t="shared" si="0"/>
        <v>165</v>
      </c>
      <c r="BF5" s="2">
        <f t="shared" si="0"/>
        <v>165</v>
      </c>
      <c r="BG5" s="2">
        <f t="shared" si="0"/>
        <v>165</v>
      </c>
      <c r="BH5" s="2">
        <f t="shared" si="0"/>
        <v>165</v>
      </c>
      <c r="BI5" s="2">
        <f t="shared" si="0"/>
        <v>165</v>
      </c>
      <c r="BJ5" s="2">
        <f t="shared" si="0"/>
        <v>165</v>
      </c>
      <c r="BK5" s="2">
        <f t="shared" si="0"/>
        <v>165</v>
      </c>
      <c r="BL5" s="2">
        <f t="shared" si="0"/>
        <v>165</v>
      </c>
      <c r="BM5" s="2">
        <f t="shared" si="0"/>
        <v>165</v>
      </c>
      <c r="BN5" s="2">
        <f t="shared" si="0"/>
        <v>165</v>
      </c>
      <c r="BO5" s="2">
        <f t="shared" si="0"/>
        <v>165</v>
      </c>
      <c r="BP5" s="2">
        <f t="shared" si="0"/>
        <v>165</v>
      </c>
      <c r="BQ5" s="2">
        <f t="shared" si="0"/>
        <v>165</v>
      </c>
      <c r="BR5" s="2">
        <f t="shared" ref="BR5:BY5" si="1">IF(BQ5+BR4&gt;$B$1,$B$1,BQ5+BR4)</f>
        <v>165</v>
      </c>
      <c r="BS5" s="2">
        <f t="shared" si="1"/>
        <v>165</v>
      </c>
      <c r="BT5" s="2">
        <f t="shared" si="1"/>
        <v>165</v>
      </c>
      <c r="BU5" s="2">
        <f t="shared" si="1"/>
        <v>165</v>
      </c>
      <c r="BV5" s="2">
        <f t="shared" si="1"/>
        <v>165</v>
      </c>
      <c r="BW5" s="2">
        <f t="shared" si="1"/>
        <v>165</v>
      </c>
      <c r="BX5" s="2">
        <f t="shared" si="1"/>
        <v>165</v>
      </c>
      <c r="BY5" s="2">
        <f t="shared" si="1"/>
        <v>165</v>
      </c>
    </row>
    <row r="6" spans="1:77" x14ac:dyDescent="0.25">
      <c r="A6" s="6" t="s">
        <v>20</v>
      </c>
      <c r="B6" s="17">
        <v>0.04</v>
      </c>
      <c r="C6" s="18">
        <v>3000</v>
      </c>
      <c r="D6" s="9">
        <f>C6*(1+$B$6)</f>
        <v>3120</v>
      </c>
      <c r="E6" s="9">
        <f t="shared" ref="E6:W6" si="2">D6*(1+$B$6)</f>
        <v>3244.8</v>
      </c>
      <c r="F6" s="9">
        <f t="shared" si="2"/>
        <v>3374.5920000000001</v>
      </c>
      <c r="G6" s="9">
        <f t="shared" si="2"/>
        <v>3509.5756800000004</v>
      </c>
      <c r="H6" s="9">
        <f>G6*(1+$B$6)</f>
        <v>3649.9587072000004</v>
      </c>
      <c r="I6" s="9">
        <f t="shared" si="2"/>
        <v>3795.9570554880006</v>
      </c>
      <c r="J6" s="9">
        <f t="shared" si="2"/>
        <v>3947.795337707521</v>
      </c>
      <c r="K6" s="9">
        <f t="shared" si="2"/>
        <v>4105.7071512158218</v>
      </c>
      <c r="L6" s="9">
        <f t="shared" si="2"/>
        <v>4269.9354372644548</v>
      </c>
      <c r="M6" s="9">
        <f>L6*(1+$B$6)</f>
        <v>4440.7328547550333</v>
      </c>
      <c r="N6" s="9">
        <f t="shared" si="2"/>
        <v>4618.3621689452348</v>
      </c>
      <c r="O6" s="9">
        <f>N6*(1+$B$6)</f>
        <v>4803.0966557030442</v>
      </c>
      <c r="P6" s="9">
        <f t="shared" si="2"/>
        <v>4995.2205219311663</v>
      </c>
      <c r="Q6" s="9">
        <f t="shared" si="2"/>
        <v>5195.0293428084133</v>
      </c>
      <c r="R6" s="9">
        <f t="shared" si="2"/>
        <v>5402.8305165207503</v>
      </c>
      <c r="S6" s="9">
        <f t="shared" si="2"/>
        <v>5618.9437371815802</v>
      </c>
      <c r="T6" s="9">
        <f t="shared" si="2"/>
        <v>5843.7014866688432</v>
      </c>
      <c r="U6" s="9">
        <f t="shared" si="2"/>
        <v>6077.4495461355973</v>
      </c>
      <c r="V6" s="9">
        <f t="shared" si="2"/>
        <v>6320.5475279810216</v>
      </c>
      <c r="W6" s="9">
        <f t="shared" si="2"/>
        <v>6573.369429100263</v>
      </c>
      <c r="X6" s="9">
        <f t="shared" ref="X6" si="3">W6*(1+$B$6)</f>
        <v>6836.3042062642735</v>
      </c>
      <c r="Y6" s="9">
        <f t="shared" ref="Y6" si="4">X6*(1+$B$6)</f>
        <v>7109.7563745148445</v>
      </c>
      <c r="Z6" s="9">
        <f t="shared" ref="Z6" si="5">Y6*(1+$B$6)</f>
        <v>7394.1466294954389</v>
      </c>
      <c r="AA6" s="9">
        <f t="shared" ref="AA6" si="6">Z6*(1+$B$6)</f>
        <v>7689.9124946752563</v>
      </c>
      <c r="AB6" s="9">
        <f t="shared" ref="AB6" si="7">AA6*(1+$B$6)</f>
        <v>7997.5089944622669</v>
      </c>
      <c r="AC6" s="9">
        <f t="shared" ref="AC6" si="8">AB6*(1+$B$6)</f>
        <v>8317.4093542407572</v>
      </c>
      <c r="AD6" s="9">
        <f t="shared" ref="AD6" si="9">AC6*(1+$B$6)</f>
        <v>8650.1057284103881</v>
      </c>
      <c r="AE6" s="9">
        <f t="shared" ref="AE6" si="10">AD6*(1+$B$6)</f>
        <v>8996.1099575468033</v>
      </c>
      <c r="AF6" s="9">
        <f t="shared" ref="AF6" si="11">AE6*(1+$B$6)</f>
        <v>9355.9543558486766</v>
      </c>
      <c r="AG6" s="9">
        <f t="shared" ref="AG6" si="12">AF6*(1+$B$6)</f>
        <v>9730.1925300826242</v>
      </c>
      <c r="AH6" s="9">
        <f t="shared" ref="AH6" si="13">AG6*(1+$B$6)</f>
        <v>10119.40023128593</v>
      </c>
      <c r="AI6" s="9">
        <f t="shared" ref="AI6" si="14">AH6*(1+$B$6)</f>
        <v>10524.176240537368</v>
      </c>
      <c r="AJ6" s="9">
        <f t="shared" ref="AJ6" si="15">AI6*(1+$B$6)</f>
        <v>10945.143290158863</v>
      </c>
      <c r="AK6" s="9">
        <f t="shared" ref="AK6" si="16">AJ6*(1+$B$6)</f>
        <v>11382.949021765218</v>
      </c>
      <c r="AL6" s="9">
        <f t="shared" ref="AL6" si="17">AK6*(1+$B$6)</f>
        <v>11838.266982635827</v>
      </c>
      <c r="AM6" s="9">
        <f t="shared" ref="AM6" si="18">AL6*(1+$B$6)</f>
        <v>12311.79766194126</v>
      </c>
      <c r="AN6" s="9">
        <f t="shared" ref="AN6" si="19">AM6*(1+$B$6)</f>
        <v>12804.269568418911</v>
      </c>
      <c r="AO6" s="9">
        <f t="shared" ref="AO6" si="20">AN6*(1+$B$6)</f>
        <v>13316.440351155668</v>
      </c>
      <c r="AP6" s="9">
        <f t="shared" ref="AP6" si="21">AO6*(1+$B$6)</f>
        <v>13849.097965201896</v>
      </c>
      <c r="AQ6" s="9">
        <f t="shared" ref="AQ6" si="22">AP6*(1+$B$6)</f>
        <v>14403.061883809973</v>
      </c>
      <c r="AR6" s="9">
        <f t="shared" ref="AR6" si="23">AQ6*(1+$B$6)</f>
        <v>14979.184359162373</v>
      </c>
      <c r="AS6" s="9">
        <f t="shared" ref="AS6" si="24">AR6*(1+$B$6)</f>
        <v>15578.351733528869</v>
      </c>
      <c r="AT6" s="9">
        <f t="shared" ref="AT6" si="25">AS6*(1+$B$6)</f>
        <v>16201.485802870024</v>
      </c>
      <c r="AU6" s="9">
        <f t="shared" ref="AU6" si="26">AT6*(1+$B$6)</f>
        <v>16849.545234984824</v>
      </c>
      <c r="AV6" s="9">
        <f t="shared" ref="AV6" si="27">AU6*(1+$B$6)</f>
        <v>17523.527044384216</v>
      </c>
      <c r="AW6" s="9">
        <f t="shared" ref="AW6" si="28">AV6*(1+$B$6)</f>
        <v>18224.468126159587</v>
      </c>
      <c r="AX6" s="9">
        <f t="shared" ref="AX6" si="29">AW6*(1+$B$6)</f>
        <v>18953.446851205972</v>
      </c>
      <c r="AY6" s="9">
        <f t="shared" ref="AY6" si="30">AX6*(1+$B$6)</f>
        <v>19711.584725254212</v>
      </c>
      <c r="AZ6" s="9">
        <f t="shared" ref="AZ6:BA6" si="31">AY6*(1+$B$6)</f>
        <v>20500.04811426438</v>
      </c>
      <c r="BA6" s="9">
        <f t="shared" si="31"/>
        <v>21320.050038834957</v>
      </c>
      <c r="BB6" s="9">
        <f t="shared" ref="BB6" si="32">BA6*(1+$B$6)</f>
        <v>22172.852040388356</v>
      </c>
      <c r="BC6" s="9">
        <f t="shared" ref="BC6" si="33">BB6*(1+$B$6)</f>
        <v>23059.76612200389</v>
      </c>
      <c r="BD6" s="9">
        <f t="shared" ref="BD6" si="34">BC6*(1+$B$6)</f>
        <v>23982.156766884047</v>
      </c>
      <c r="BE6" s="9">
        <f t="shared" ref="BE6" si="35">BD6*(1+$B$6)</f>
        <v>24941.443037559409</v>
      </c>
      <c r="BF6" s="9">
        <f t="shared" ref="BF6" si="36">BE6*(1+$B$6)</f>
        <v>25939.100759061788</v>
      </c>
      <c r="BG6" s="9">
        <f t="shared" ref="BG6" si="37">BF6*(1+$B$6)</f>
        <v>26976.66478942426</v>
      </c>
      <c r="BH6" s="9">
        <f t="shared" ref="BH6" si="38">BG6*(1+$B$6)</f>
        <v>28055.731381001231</v>
      </c>
      <c r="BI6" s="9">
        <f t="shared" ref="BI6" si="39">BH6*(1+$B$6)</f>
        <v>29177.960636241281</v>
      </c>
      <c r="BJ6" s="9">
        <f t="shared" ref="BJ6" si="40">BI6*(1+$B$6)</f>
        <v>30345.079061690933</v>
      </c>
      <c r="BK6" s="9">
        <f t="shared" ref="BK6" si="41">BJ6*(1+$B$6)</f>
        <v>31558.882224158569</v>
      </c>
      <c r="BL6" s="9">
        <f t="shared" ref="BL6" si="42">BK6*(1+$B$6)</f>
        <v>32821.237513124914</v>
      </c>
      <c r="BM6" s="9">
        <f t="shared" ref="BM6" si="43">BL6*(1+$B$6)</f>
        <v>34134.087013649914</v>
      </c>
      <c r="BN6" s="9">
        <f t="shared" ref="BN6" si="44">BM6*(1+$B$6)</f>
        <v>35499.450494195909</v>
      </c>
      <c r="BO6" s="9">
        <f t="shared" ref="BO6" si="45">BN6*(1+$B$6)</f>
        <v>36919.42851396375</v>
      </c>
      <c r="BP6" s="9">
        <f t="shared" ref="BP6" si="46">BO6*(1+$B$6)</f>
        <v>38396.205654522302</v>
      </c>
      <c r="BQ6" s="9">
        <f t="shared" ref="BQ6" si="47">BP6*(1+$B$6)</f>
        <v>39932.053880703199</v>
      </c>
      <c r="BR6" s="9">
        <f t="shared" ref="BR6" si="48">BQ6*(1+$B$6)</f>
        <v>41529.33603593133</v>
      </c>
      <c r="BS6" s="9">
        <f t="shared" ref="BS6" si="49">BR6*(1+$B$6)</f>
        <v>43190.509477368585</v>
      </c>
      <c r="BT6" s="9">
        <f t="shared" ref="BT6" si="50">BS6*(1+$B$6)</f>
        <v>44918.129856463333</v>
      </c>
      <c r="BU6" s="9">
        <f t="shared" ref="BU6" si="51">BT6*(1+$B$6)</f>
        <v>46714.855050721868</v>
      </c>
      <c r="BV6" s="9">
        <f t="shared" ref="BV6" si="52">BU6*(1+$B$6)</f>
        <v>48583.449252750746</v>
      </c>
      <c r="BW6" s="9">
        <f t="shared" ref="BW6" si="53">BV6*(1+$B$6)</f>
        <v>50526.787222860781</v>
      </c>
      <c r="BX6" s="9">
        <f t="shared" ref="BX6" si="54">BW6*(1+$B$6)</f>
        <v>52547.858711775218</v>
      </c>
      <c r="BY6" s="9">
        <f t="shared" ref="BY6" si="55">BX6*(1+$B$6)</f>
        <v>54649.773060246225</v>
      </c>
    </row>
    <row r="7" spans="1:77" x14ac:dyDescent="0.25">
      <c r="A7" s="4" t="s">
        <v>21</v>
      </c>
      <c r="B7" s="16"/>
      <c r="C7" s="5">
        <f>IF(C5=$B$1,C5*C6,C4*C6)</f>
        <v>120000</v>
      </c>
      <c r="D7" s="5">
        <f>IF(D5=$B$1,(D5-C5)*D6,D4*D6)</f>
        <v>24960</v>
      </c>
      <c r="E7" s="5">
        <f>IF(E5=$B$1,(E5-D5)*E6,E4*E6)</f>
        <v>19468.800000000003</v>
      </c>
      <c r="F7" s="5">
        <f t="shared" ref="F7:BP7" si="56">IF(F5=$B$1,(F5-E5)*F6,F4*F6)</f>
        <v>20247.552</v>
      </c>
      <c r="G7" s="5">
        <f>IF(G5=$B$1,(G5-F5)*G6,G4*G6)</f>
        <v>14038.302720000002</v>
      </c>
      <c r="H7" s="5">
        <f t="shared" si="56"/>
        <v>14599.834828800002</v>
      </c>
      <c r="I7" s="5">
        <f t="shared" si="56"/>
        <v>15183.828221952002</v>
      </c>
      <c r="J7" s="5">
        <f t="shared" si="56"/>
        <v>15791.181350830084</v>
      </c>
      <c r="K7" s="5">
        <f t="shared" si="56"/>
        <v>8211.4143024316436</v>
      </c>
      <c r="L7" s="5">
        <f t="shared" si="56"/>
        <v>8539.8708745289096</v>
      </c>
      <c r="M7" s="5">
        <f>IF(M5=$B$1,(M5-L5)*M6,M4*M6)</f>
        <v>8881.4657095100665</v>
      </c>
      <c r="N7" s="5">
        <f t="shared" si="56"/>
        <v>9236.7243378904695</v>
      </c>
      <c r="O7" s="5">
        <f t="shared" si="56"/>
        <v>9606.1933114060885</v>
      </c>
      <c r="P7" s="5">
        <f t="shared" si="56"/>
        <v>9990.4410438623327</v>
      </c>
      <c r="Q7" s="5">
        <f t="shared" si="56"/>
        <v>10390.058685616827</v>
      </c>
      <c r="R7" s="5">
        <f t="shared" si="56"/>
        <v>10805.661033041501</v>
      </c>
      <c r="S7" s="5">
        <f t="shared" si="56"/>
        <v>11237.88747436316</v>
      </c>
      <c r="T7" s="5">
        <f t="shared" si="56"/>
        <v>11687.402973337686</v>
      </c>
      <c r="U7" s="5">
        <f t="shared" si="56"/>
        <v>12154.899092271195</v>
      </c>
      <c r="V7" s="5">
        <f t="shared" si="56"/>
        <v>12641.095055962043</v>
      </c>
      <c r="W7" s="5">
        <f t="shared" si="56"/>
        <v>13146.738858200526</v>
      </c>
      <c r="X7" s="5">
        <f t="shared" si="56"/>
        <v>13672.608412528547</v>
      </c>
      <c r="Y7" s="5">
        <f t="shared" si="56"/>
        <v>14219.512749029689</v>
      </c>
      <c r="Z7" s="5">
        <f t="shared" si="56"/>
        <v>14788.293258990878</v>
      </c>
      <c r="AA7" s="5">
        <f t="shared" si="56"/>
        <v>15379.824989350513</v>
      </c>
      <c r="AB7" s="5">
        <f t="shared" si="56"/>
        <v>15995.017988924534</v>
      </c>
      <c r="AC7" s="5">
        <f t="shared" si="56"/>
        <v>16634.818708481514</v>
      </c>
      <c r="AD7" s="5">
        <f t="shared" si="56"/>
        <v>17300.211456820776</v>
      </c>
      <c r="AE7" s="5">
        <f t="shared" si="56"/>
        <v>17992.219915093607</v>
      </c>
      <c r="AF7" s="5">
        <f t="shared" si="56"/>
        <v>18711.908711697353</v>
      </c>
      <c r="AG7" s="5">
        <f t="shared" si="56"/>
        <v>19460.385060165248</v>
      </c>
      <c r="AH7" s="5">
        <f t="shared" si="56"/>
        <v>20238.80046257186</v>
      </c>
      <c r="AI7" s="5">
        <f t="shared" si="56"/>
        <v>21048.352481074737</v>
      </c>
      <c r="AJ7" s="5">
        <f t="shared" si="56"/>
        <v>21890.286580317726</v>
      </c>
      <c r="AK7" s="5">
        <f t="shared" si="56"/>
        <v>22765.898043530437</v>
      </c>
      <c r="AL7" s="5">
        <f t="shared" si="56"/>
        <v>23676.533965271654</v>
      </c>
      <c r="AM7" s="5">
        <f t="shared" si="56"/>
        <v>24623.59532388252</v>
      </c>
      <c r="AN7" s="5">
        <f t="shared" si="56"/>
        <v>25608.539136837822</v>
      </c>
      <c r="AO7" s="5">
        <f t="shared" si="56"/>
        <v>26632.880702311337</v>
      </c>
      <c r="AP7" s="5">
        <f t="shared" si="56"/>
        <v>27698.195930403792</v>
      </c>
      <c r="AQ7" s="5">
        <f t="shared" si="56"/>
        <v>28806.123767619945</v>
      </c>
      <c r="AR7" s="5">
        <f t="shared" si="56"/>
        <v>29958.368718324746</v>
      </c>
      <c r="AS7" s="5">
        <f t="shared" si="56"/>
        <v>31156.703467057738</v>
      </c>
      <c r="AT7" s="5">
        <f t="shared" si="56"/>
        <v>32402.971605740047</v>
      </c>
      <c r="AU7" s="5">
        <f t="shared" si="56"/>
        <v>33699.090469969648</v>
      </c>
      <c r="AV7" s="5">
        <f t="shared" si="56"/>
        <v>35047.054088768433</v>
      </c>
      <c r="AW7" s="5">
        <f t="shared" si="56"/>
        <v>36448.936252319174</v>
      </c>
      <c r="AX7" s="5">
        <f t="shared" si="56"/>
        <v>37906.893702411944</v>
      </c>
      <c r="AY7" s="5">
        <f t="shared" si="56"/>
        <v>39423.169450508423</v>
      </c>
      <c r="AZ7" s="5">
        <f t="shared" si="56"/>
        <v>41000.096228528761</v>
      </c>
      <c r="BA7" s="5">
        <f t="shared" si="56"/>
        <v>42640.100077669915</v>
      </c>
      <c r="BB7" s="5">
        <f t="shared" si="56"/>
        <v>44345.704080776712</v>
      </c>
      <c r="BC7" s="5">
        <f t="shared" si="56"/>
        <v>23059.76612200389</v>
      </c>
      <c r="BD7" s="5">
        <f t="shared" si="56"/>
        <v>0</v>
      </c>
      <c r="BE7" s="5">
        <f t="shared" si="56"/>
        <v>0</v>
      </c>
      <c r="BF7" s="5">
        <f t="shared" si="56"/>
        <v>0</v>
      </c>
      <c r="BG7" s="5">
        <f t="shared" si="56"/>
        <v>0</v>
      </c>
      <c r="BH7" s="5">
        <f t="shared" si="56"/>
        <v>0</v>
      </c>
      <c r="BI7" s="5">
        <f t="shared" si="56"/>
        <v>0</v>
      </c>
      <c r="BJ7" s="5">
        <f t="shared" si="56"/>
        <v>0</v>
      </c>
      <c r="BK7" s="5">
        <f t="shared" si="56"/>
        <v>0</v>
      </c>
      <c r="BL7" s="5">
        <f t="shared" si="56"/>
        <v>0</v>
      </c>
      <c r="BM7" s="5">
        <f t="shared" si="56"/>
        <v>0</v>
      </c>
      <c r="BN7" s="5">
        <f t="shared" si="56"/>
        <v>0</v>
      </c>
      <c r="BO7" s="5">
        <f t="shared" si="56"/>
        <v>0</v>
      </c>
      <c r="BP7" s="5">
        <f t="shared" si="56"/>
        <v>0</v>
      </c>
      <c r="BQ7" s="5">
        <f t="shared" ref="BQ7:BY7" si="57">IF(BQ5=$B$1,(BQ5-BP5)*BQ6,BQ4*BQ6)</f>
        <v>0</v>
      </c>
      <c r="BR7" s="5">
        <f t="shared" si="57"/>
        <v>0</v>
      </c>
      <c r="BS7" s="5">
        <f t="shared" si="57"/>
        <v>0</v>
      </c>
      <c r="BT7" s="5">
        <f t="shared" si="57"/>
        <v>0</v>
      </c>
      <c r="BU7" s="5">
        <f t="shared" si="57"/>
        <v>0</v>
      </c>
      <c r="BV7" s="5">
        <f t="shared" si="57"/>
        <v>0</v>
      </c>
      <c r="BW7" s="5">
        <f t="shared" si="57"/>
        <v>0</v>
      </c>
      <c r="BX7" s="5">
        <f t="shared" si="57"/>
        <v>0</v>
      </c>
      <c r="BY7" s="5">
        <f t="shared" si="57"/>
        <v>0</v>
      </c>
    </row>
    <row r="8" spans="1:77" ht="9" customHeight="1" x14ac:dyDescent="0.25">
      <c r="B8" s="15"/>
      <c r="C8" s="3"/>
    </row>
    <row r="9" spans="1:77" x14ac:dyDescent="0.25">
      <c r="A9" t="s">
        <v>84</v>
      </c>
      <c r="B9" s="15"/>
      <c r="C9" s="24">
        <f>COUNTIF(Table1[Estimated '# Yrs to Live],C2)</f>
        <v>0</v>
      </c>
      <c r="D9" s="24">
        <f>COUNTIF(Table1[Estimated '# Yrs to Live],D2)</f>
        <v>0</v>
      </c>
      <c r="E9" s="24">
        <f>COUNTIF(Table1[Estimated '# Yrs to Live],E2)</f>
        <v>0</v>
      </c>
      <c r="F9" s="24">
        <f>COUNTIF(Table1[Estimated '# Yrs to Live],F2)</f>
        <v>0</v>
      </c>
      <c r="G9" s="24">
        <f>COUNTIF(Table1[Estimated '# Yrs to Live],G2)</f>
        <v>0</v>
      </c>
      <c r="H9" s="24">
        <f>COUNTIF(Table1[Estimated '# Yrs to Live],H2)</f>
        <v>1</v>
      </c>
      <c r="I9" s="24">
        <f>COUNTIF(Table1[Estimated '# Yrs to Live],I2)</f>
        <v>1</v>
      </c>
      <c r="J9" s="24">
        <f>COUNTIF(Table1[Estimated '# Yrs to Live],J2)</f>
        <v>0</v>
      </c>
      <c r="K9" s="24">
        <f>COUNTIF(Table1[Estimated '# Yrs to Live],K2)</f>
        <v>1</v>
      </c>
      <c r="L9" s="24">
        <f>COUNTIF(Table1[Estimated '# Yrs to Live],L2)</f>
        <v>1</v>
      </c>
      <c r="M9" s="24">
        <f>COUNTIF(Table1[Estimated '# Yrs to Live],M2)</f>
        <v>0</v>
      </c>
      <c r="N9" s="24">
        <f>COUNTIF(Table1[Estimated '# Yrs to Live],N2)</f>
        <v>0</v>
      </c>
      <c r="O9" s="24">
        <f>COUNTIF(Table1[Estimated '# Yrs to Live],O2)</f>
        <v>1</v>
      </c>
      <c r="P9" s="24">
        <f>COUNTIF(Table1[Estimated '# Yrs to Live],P2)</f>
        <v>1</v>
      </c>
      <c r="Q9" s="24">
        <f>COUNTIF(Table1[Estimated '# Yrs to Live],Q2)</f>
        <v>1</v>
      </c>
      <c r="R9" s="24">
        <f>COUNTIF(Table1[Estimated '# Yrs to Live],R2)</f>
        <v>1</v>
      </c>
      <c r="S9" s="24">
        <f>COUNTIF(Table1[Estimated '# Yrs to Live],S2)</f>
        <v>1</v>
      </c>
      <c r="T9" s="24">
        <f>COUNTIF(Table1[Estimated '# Yrs to Live],T2)</f>
        <v>0</v>
      </c>
      <c r="U9" s="24">
        <f>COUNTIF(Table1[Estimated '# Yrs to Live],U2)</f>
        <v>1</v>
      </c>
      <c r="V9" s="24">
        <f>COUNTIF(Table1[Estimated '# Yrs to Live],V2)</f>
        <v>0</v>
      </c>
      <c r="W9" s="24">
        <f>COUNTIF(Table1[Estimated '# Yrs to Live],W2)</f>
        <v>0</v>
      </c>
      <c r="X9" s="24">
        <f>COUNTIF(Table1[Estimated '# Yrs to Live],X2)</f>
        <v>0</v>
      </c>
      <c r="Y9" s="24">
        <f>COUNTIF(Table1[Estimated '# Yrs to Live],Y2)</f>
        <v>0</v>
      </c>
      <c r="Z9" s="24">
        <f>COUNTIF(Table1[Estimated '# Yrs to Live],Z2)</f>
        <v>0</v>
      </c>
      <c r="AA9" s="24">
        <f>COUNTIF(Table1[Estimated '# Yrs to Live],AA2)</f>
        <v>2</v>
      </c>
      <c r="AB9" s="24">
        <f>COUNTIF(Table1[Estimated '# Yrs to Live],AB2)</f>
        <v>0</v>
      </c>
      <c r="AC9" s="24">
        <f>COUNTIF(Table1[Estimated '# Yrs to Live],AC2)</f>
        <v>0</v>
      </c>
      <c r="AD9" s="24">
        <f>COUNTIF(Table1[Estimated '# Yrs to Live],AD2)</f>
        <v>0</v>
      </c>
      <c r="AE9" s="24">
        <f>COUNTIF(Table1[Estimated '# Yrs to Live],AE2)</f>
        <v>2</v>
      </c>
      <c r="AF9" s="24">
        <f>COUNTIF(Table1[Estimated '# Yrs to Live],AF2)</f>
        <v>0</v>
      </c>
      <c r="AG9" s="24">
        <f>COUNTIF(Table1[Estimated '# Yrs to Live],AG2)</f>
        <v>0</v>
      </c>
      <c r="AH9" s="24">
        <f>COUNTIF(Table1[Estimated '# Yrs to Live],AH2)</f>
        <v>0</v>
      </c>
      <c r="AI9" s="24">
        <f>COUNTIF(Table1[Estimated '# Yrs to Live],AI2)</f>
        <v>0</v>
      </c>
      <c r="AJ9" s="24">
        <f>COUNTIF(Table1[Estimated '# Yrs to Live],AJ2)</f>
        <v>0</v>
      </c>
      <c r="AK9" s="24">
        <f>COUNTIF(Table1[Estimated '# Yrs to Live],AK2)</f>
        <v>0</v>
      </c>
      <c r="AL9" s="24">
        <f>COUNTIF(Table1[Estimated '# Yrs to Live],AL2)</f>
        <v>0</v>
      </c>
      <c r="AM9" s="24">
        <f>COUNTIF(Table1[Estimated '# Yrs to Live],AM2)</f>
        <v>1</v>
      </c>
      <c r="AN9" s="24">
        <f>COUNTIF(Table1[Estimated '# Yrs to Live],AN2)</f>
        <v>1</v>
      </c>
      <c r="AO9" s="24">
        <f>COUNTIF(Table1[Estimated '# Yrs to Live],AO2)</f>
        <v>0</v>
      </c>
      <c r="AP9" s="24">
        <f>COUNTIF(Table1[Estimated '# Yrs to Live],AP2)</f>
        <v>1</v>
      </c>
      <c r="AQ9" s="24">
        <f>COUNTIF(Table1[Estimated '# Yrs to Live],AQ2)</f>
        <v>1</v>
      </c>
      <c r="AR9" s="24">
        <f>COUNTIF(Table1[Estimated '# Yrs to Live],AR2)</f>
        <v>1</v>
      </c>
      <c r="AS9" s="24">
        <f>COUNTIF(Table1[Estimated '# Yrs to Live],AS2)</f>
        <v>1</v>
      </c>
      <c r="AT9" s="24">
        <f>COUNTIF(Table1[Estimated '# Yrs to Live],AT2)</f>
        <v>0</v>
      </c>
      <c r="AU9" s="24">
        <f>COUNTIF(Table1[Estimated '# Yrs to Live],AU2)</f>
        <v>0</v>
      </c>
      <c r="AV9" s="24">
        <f>COUNTIF(Table1[Estimated '# Yrs to Live],AV2)</f>
        <v>2</v>
      </c>
      <c r="AW9" s="24">
        <f>COUNTIF(Table1[Estimated '# Yrs to Live],AW2)</f>
        <v>0</v>
      </c>
      <c r="AX9" s="24">
        <f>COUNTIF(Table1[Estimated '# Yrs to Live],AX2)</f>
        <v>0</v>
      </c>
      <c r="AY9" s="24">
        <f>COUNTIF(Table1[Estimated '# Yrs to Live],AY2)</f>
        <v>0</v>
      </c>
      <c r="AZ9" s="24">
        <f>COUNTIF(Table1[Estimated '# Yrs to Live],AZ2)</f>
        <v>0</v>
      </c>
      <c r="BA9" s="24">
        <f>COUNTIF(Table1[Estimated '# Yrs to Live],BA2)</f>
        <v>0</v>
      </c>
      <c r="BB9" s="24">
        <f>COUNTIF(Table1[Estimated '# Yrs to Live],BB2)</f>
        <v>0</v>
      </c>
      <c r="BC9" s="24">
        <f>COUNTIF(Table1[Estimated '# Yrs to Live],BC2)</f>
        <v>0</v>
      </c>
      <c r="BD9" s="24">
        <f>COUNTIF(Table1[Estimated '# Yrs to Live],BD2)</f>
        <v>0</v>
      </c>
      <c r="BE9" s="24">
        <f>COUNTIF(Table1[Estimated '# Yrs to Live],BE2)</f>
        <v>0</v>
      </c>
      <c r="BF9" s="24">
        <f>COUNTIF(Table1[Estimated '# Yrs to Live],BF2)</f>
        <v>0</v>
      </c>
      <c r="BG9" s="24">
        <f>COUNTIF(Table1[Estimated '# Yrs to Live],BG2)</f>
        <v>0</v>
      </c>
      <c r="BH9" s="24">
        <f>COUNTIF(Table1[Estimated '# Yrs to Live],BH2)</f>
        <v>0</v>
      </c>
      <c r="BI9" s="24">
        <f>COUNTIF(Table1[Estimated '# Yrs to Live],BI2)</f>
        <v>0</v>
      </c>
      <c r="BJ9" s="24">
        <f>COUNTIF(Table1[Estimated '# Yrs to Live],BJ2)</f>
        <v>0</v>
      </c>
      <c r="BK9" s="24">
        <f>COUNTIF(Table1[Estimated '# Yrs to Live],BK2)</f>
        <v>0</v>
      </c>
      <c r="BL9" s="24">
        <f>COUNTIF(Table1[Estimated '# Yrs to Live],BL2)</f>
        <v>0</v>
      </c>
      <c r="BM9" s="24">
        <f>COUNTIF(Table1[Estimated '# Yrs to Live],BM2)</f>
        <v>0</v>
      </c>
      <c r="BN9" s="24">
        <f>COUNTIF(Table1[Estimated '# Yrs to Live],BN2)</f>
        <v>0</v>
      </c>
      <c r="BO9" s="24">
        <f>COUNTIF(Table1[Estimated '# Yrs to Live],BO2)</f>
        <v>0</v>
      </c>
      <c r="BP9" s="24">
        <f>COUNTIF(Table1[Estimated '# Yrs to Live],BP2)</f>
        <v>0</v>
      </c>
      <c r="BQ9" s="24">
        <f>COUNTIF(Table1[Estimated '# Yrs to Live],BQ2)</f>
        <v>0</v>
      </c>
      <c r="BR9" s="24">
        <f>COUNTIF(Table1[Estimated '# Yrs to Live],BR2)</f>
        <v>0</v>
      </c>
      <c r="BS9" s="24">
        <f>COUNTIF(Table1[Estimated '# Yrs to Live],BS2)</f>
        <v>0</v>
      </c>
      <c r="BT9" s="24">
        <f>COUNTIF(Table1[Estimated '# Yrs to Live],BT2)</f>
        <v>0</v>
      </c>
      <c r="BU9" s="24">
        <f>COUNTIF(Table1[Estimated '# Yrs to Live],BU2)</f>
        <v>0</v>
      </c>
      <c r="BV9" s="24">
        <f>COUNTIF(Table1[Estimated '# Yrs to Live],BV2)</f>
        <v>0</v>
      </c>
      <c r="BW9" s="24">
        <f>COUNTIF(Table1[Estimated '# Yrs to Live],BW2)</f>
        <v>0</v>
      </c>
      <c r="BX9" s="24">
        <f>COUNTIF(Table1[Estimated '# Yrs to Live],BX2)</f>
        <v>0</v>
      </c>
      <c r="BY9" s="24">
        <f>COUNTIF(Table1[Estimated '# Yrs to Live],BY2)</f>
        <v>0</v>
      </c>
    </row>
    <row r="10" spans="1:77" x14ac:dyDescent="0.25">
      <c r="A10" t="s">
        <v>85</v>
      </c>
      <c r="B10" s="42"/>
      <c r="C10" s="43">
        <v>2</v>
      </c>
      <c r="D10" s="43">
        <v>1</v>
      </c>
      <c r="E10" s="43">
        <v>2</v>
      </c>
      <c r="F10" s="43">
        <v>1</v>
      </c>
      <c r="G10" s="43">
        <v>2</v>
      </c>
      <c r="H10" s="43">
        <v>1</v>
      </c>
      <c r="I10" s="43">
        <v>2</v>
      </c>
      <c r="J10" s="43">
        <v>1</v>
      </c>
      <c r="K10" s="43">
        <v>2</v>
      </c>
      <c r="L10" s="43">
        <v>1</v>
      </c>
      <c r="M10" s="43">
        <v>2</v>
      </c>
      <c r="N10" s="43">
        <v>1</v>
      </c>
      <c r="O10" s="43">
        <v>2</v>
      </c>
      <c r="P10" s="43">
        <v>2</v>
      </c>
      <c r="Q10" s="43">
        <v>2</v>
      </c>
      <c r="R10" s="43">
        <v>2</v>
      </c>
      <c r="S10" s="43">
        <v>2</v>
      </c>
      <c r="T10" s="43">
        <v>2</v>
      </c>
      <c r="U10" s="43">
        <v>2</v>
      </c>
      <c r="V10" s="43">
        <v>2</v>
      </c>
      <c r="W10" s="43">
        <v>2</v>
      </c>
      <c r="X10" s="43">
        <v>2</v>
      </c>
      <c r="Y10" s="43">
        <v>2</v>
      </c>
      <c r="Z10" s="43">
        <v>2</v>
      </c>
      <c r="AA10" s="43">
        <v>2</v>
      </c>
      <c r="AB10" s="43">
        <v>2</v>
      </c>
      <c r="AC10" s="43">
        <v>2</v>
      </c>
      <c r="AD10" s="43">
        <v>2</v>
      </c>
      <c r="AE10" s="43">
        <v>2</v>
      </c>
      <c r="AF10" s="43">
        <v>2</v>
      </c>
      <c r="AG10" s="43">
        <v>2</v>
      </c>
      <c r="AH10" s="43">
        <v>2</v>
      </c>
      <c r="AI10" s="43">
        <v>2</v>
      </c>
      <c r="AJ10" s="43">
        <v>2</v>
      </c>
      <c r="AK10" s="43">
        <v>2</v>
      </c>
      <c r="AL10" s="43">
        <v>2</v>
      </c>
      <c r="AM10" s="43">
        <v>2</v>
      </c>
      <c r="AN10" s="43">
        <v>2</v>
      </c>
      <c r="AO10" s="43">
        <v>2</v>
      </c>
      <c r="AP10" s="43">
        <v>2</v>
      </c>
      <c r="AQ10" s="43">
        <v>2</v>
      </c>
      <c r="AR10" s="43">
        <v>2</v>
      </c>
      <c r="AS10" s="43">
        <v>2</v>
      </c>
      <c r="AT10" s="43">
        <v>2</v>
      </c>
      <c r="AU10" s="43">
        <v>2</v>
      </c>
      <c r="AV10" s="43">
        <v>2</v>
      </c>
      <c r="AW10" s="43">
        <v>2</v>
      </c>
      <c r="AX10" s="43">
        <v>2</v>
      </c>
      <c r="AY10" s="43">
        <v>2</v>
      </c>
      <c r="AZ10" s="43">
        <v>2</v>
      </c>
      <c r="BA10" s="43">
        <v>2</v>
      </c>
      <c r="BB10" s="43">
        <v>2</v>
      </c>
      <c r="BC10" s="43">
        <v>2</v>
      </c>
      <c r="BD10" s="43">
        <v>2</v>
      </c>
      <c r="BE10" s="43">
        <v>2</v>
      </c>
      <c r="BF10" s="43">
        <v>2</v>
      </c>
      <c r="BG10" s="43">
        <v>2</v>
      </c>
      <c r="BH10" s="43">
        <v>2</v>
      </c>
      <c r="BI10" s="43">
        <v>2</v>
      </c>
      <c r="BJ10" s="43">
        <v>2</v>
      </c>
      <c r="BK10" s="43">
        <v>2</v>
      </c>
      <c r="BL10" s="43">
        <v>2</v>
      </c>
      <c r="BM10" s="43">
        <v>2</v>
      </c>
      <c r="BN10" s="43">
        <v>2</v>
      </c>
      <c r="BO10" s="43">
        <v>2</v>
      </c>
      <c r="BP10" s="43">
        <v>2</v>
      </c>
      <c r="BQ10" s="43">
        <v>2</v>
      </c>
      <c r="BR10" s="43">
        <v>2</v>
      </c>
      <c r="BS10" s="43">
        <v>2</v>
      </c>
      <c r="BT10" s="43">
        <v>2</v>
      </c>
      <c r="BU10" s="43">
        <v>2</v>
      </c>
      <c r="BV10" s="43">
        <v>2</v>
      </c>
      <c r="BW10" s="43">
        <v>2</v>
      </c>
      <c r="BX10" s="43">
        <v>2</v>
      </c>
      <c r="BY10" s="43">
        <v>2</v>
      </c>
    </row>
    <row r="11" spans="1:77" x14ac:dyDescent="0.25">
      <c r="A11" t="s">
        <v>35</v>
      </c>
      <c r="B11" s="15"/>
      <c r="C11" s="2">
        <f>IF(C9+C10&gt;C5,C5,C9+C10)</f>
        <v>2</v>
      </c>
      <c r="D11" s="2">
        <f>IF(C11+D9+D10&gt;D5,D5,C11+D9+D10)</f>
        <v>3</v>
      </c>
      <c r="E11" s="2">
        <f t="shared" ref="E11:BP11" si="58">IF(D11+E9+E10&gt;E5,E5,D11+E9+E10)</f>
        <v>5</v>
      </c>
      <c r="F11" s="2">
        <f t="shared" si="58"/>
        <v>6</v>
      </c>
      <c r="G11" s="2">
        <f t="shared" si="58"/>
        <v>8</v>
      </c>
      <c r="H11" s="2">
        <f t="shared" si="58"/>
        <v>10</v>
      </c>
      <c r="I11" s="2">
        <f t="shared" si="58"/>
        <v>13</v>
      </c>
      <c r="J11" s="2">
        <f t="shared" si="58"/>
        <v>14</v>
      </c>
      <c r="K11" s="2">
        <f t="shared" si="58"/>
        <v>17</v>
      </c>
      <c r="L11" s="2">
        <f t="shared" si="58"/>
        <v>19</v>
      </c>
      <c r="M11" s="2">
        <f t="shared" si="58"/>
        <v>21</v>
      </c>
      <c r="N11" s="2">
        <f t="shared" si="58"/>
        <v>22</v>
      </c>
      <c r="O11" s="2">
        <f t="shared" si="58"/>
        <v>25</v>
      </c>
      <c r="P11" s="2">
        <f t="shared" si="58"/>
        <v>28</v>
      </c>
      <c r="Q11" s="2">
        <f t="shared" si="58"/>
        <v>31</v>
      </c>
      <c r="R11" s="2">
        <f t="shared" si="58"/>
        <v>34</v>
      </c>
      <c r="S11" s="2">
        <f t="shared" si="58"/>
        <v>37</v>
      </c>
      <c r="T11" s="2">
        <f t="shared" si="58"/>
        <v>39</v>
      </c>
      <c r="U11" s="2">
        <f t="shared" si="58"/>
        <v>42</v>
      </c>
      <c r="V11" s="2">
        <f t="shared" si="58"/>
        <v>44</v>
      </c>
      <c r="W11" s="2">
        <f t="shared" si="58"/>
        <v>46</v>
      </c>
      <c r="X11" s="2">
        <f t="shared" si="58"/>
        <v>48</v>
      </c>
      <c r="Y11" s="2">
        <f t="shared" si="58"/>
        <v>50</v>
      </c>
      <c r="Z11" s="2">
        <f t="shared" si="58"/>
        <v>52</v>
      </c>
      <c r="AA11" s="2">
        <f t="shared" si="58"/>
        <v>56</v>
      </c>
      <c r="AB11" s="2">
        <f t="shared" si="58"/>
        <v>58</v>
      </c>
      <c r="AC11" s="2">
        <f t="shared" si="58"/>
        <v>60</v>
      </c>
      <c r="AD11" s="2">
        <f t="shared" si="58"/>
        <v>62</v>
      </c>
      <c r="AE11" s="2">
        <f t="shared" si="58"/>
        <v>66</v>
      </c>
      <c r="AF11" s="2">
        <f t="shared" si="58"/>
        <v>68</v>
      </c>
      <c r="AG11" s="2">
        <f t="shared" si="58"/>
        <v>70</v>
      </c>
      <c r="AH11" s="2">
        <f t="shared" si="58"/>
        <v>72</v>
      </c>
      <c r="AI11" s="2">
        <f t="shared" si="58"/>
        <v>74</v>
      </c>
      <c r="AJ11" s="2">
        <f t="shared" si="58"/>
        <v>76</v>
      </c>
      <c r="AK11" s="2">
        <f t="shared" si="58"/>
        <v>78</v>
      </c>
      <c r="AL11" s="2">
        <f t="shared" si="58"/>
        <v>80</v>
      </c>
      <c r="AM11" s="2">
        <f t="shared" si="58"/>
        <v>83</v>
      </c>
      <c r="AN11" s="2">
        <f t="shared" si="58"/>
        <v>86</v>
      </c>
      <c r="AO11" s="2">
        <f t="shared" si="58"/>
        <v>88</v>
      </c>
      <c r="AP11" s="2">
        <f t="shared" si="58"/>
        <v>91</v>
      </c>
      <c r="AQ11" s="2">
        <f t="shared" si="58"/>
        <v>94</v>
      </c>
      <c r="AR11" s="2">
        <f t="shared" si="58"/>
        <v>97</v>
      </c>
      <c r="AS11" s="2">
        <f t="shared" si="58"/>
        <v>100</v>
      </c>
      <c r="AT11" s="2">
        <f t="shared" si="58"/>
        <v>102</v>
      </c>
      <c r="AU11" s="2">
        <f t="shared" si="58"/>
        <v>104</v>
      </c>
      <c r="AV11" s="2">
        <f t="shared" si="58"/>
        <v>108</v>
      </c>
      <c r="AW11" s="2">
        <f t="shared" si="58"/>
        <v>110</v>
      </c>
      <c r="AX11" s="2">
        <f t="shared" si="58"/>
        <v>112</v>
      </c>
      <c r="AY11" s="2">
        <f t="shared" si="58"/>
        <v>114</v>
      </c>
      <c r="AZ11" s="2">
        <f t="shared" si="58"/>
        <v>116</v>
      </c>
      <c r="BA11" s="2">
        <f t="shared" si="58"/>
        <v>118</v>
      </c>
      <c r="BB11" s="2">
        <f t="shared" si="58"/>
        <v>120</v>
      </c>
      <c r="BC11" s="2">
        <f t="shared" si="58"/>
        <v>122</v>
      </c>
      <c r="BD11" s="2">
        <f t="shared" si="58"/>
        <v>124</v>
      </c>
      <c r="BE11" s="2">
        <f t="shared" si="58"/>
        <v>126</v>
      </c>
      <c r="BF11" s="2">
        <f t="shared" si="58"/>
        <v>128</v>
      </c>
      <c r="BG11" s="2">
        <f t="shared" si="58"/>
        <v>130</v>
      </c>
      <c r="BH11" s="2">
        <f t="shared" si="58"/>
        <v>132</v>
      </c>
      <c r="BI11" s="2">
        <f t="shared" si="58"/>
        <v>134</v>
      </c>
      <c r="BJ11" s="2">
        <f t="shared" si="58"/>
        <v>136</v>
      </c>
      <c r="BK11" s="2">
        <f t="shared" si="58"/>
        <v>138</v>
      </c>
      <c r="BL11" s="2">
        <f t="shared" si="58"/>
        <v>140</v>
      </c>
      <c r="BM11" s="2">
        <f t="shared" si="58"/>
        <v>142</v>
      </c>
      <c r="BN11" s="2">
        <f t="shared" si="58"/>
        <v>144</v>
      </c>
      <c r="BO11" s="2">
        <f t="shared" si="58"/>
        <v>146</v>
      </c>
      <c r="BP11" s="2">
        <f t="shared" si="58"/>
        <v>148</v>
      </c>
      <c r="BQ11" s="2">
        <f t="shared" ref="BQ11:BY11" si="59">IF(BP11+BQ9+BQ10&gt;BQ5,BQ5,BP11+BQ9+BQ10)</f>
        <v>150</v>
      </c>
      <c r="BR11" s="2">
        <f t="shared" si="59"/>
        <v>152</v>
      </c>
      <c r="BS11" s="2">
        <f t="shared" si="59"/>
        <v>154</v>
      </c>
      <c r="BT11" s="2">
        <f t="shared" si="59"/>
        <v>156</v>
      </c>
      <c r="BU11" s="2">
        <f t="shared" si="59"/>
        <v>158</v>
      </c>
      <c r="BV11" s="2">
        <f t="shared" si="59"/>
        <v>160</v>
      </c>
      <c r="BW11" s="2">
        <f t="shared" si="59"/>
        <v>162</v>
      </c>
      <c r="BX11" s="2">
        <f t="shared" si="59"/>
        <v>164</v>
      </c>
      <c r="BY11" s="2">
        <f t="shared" si="59"/>
        <v>165</v>
      </c>
    </row>
    <row r="12" spans="1:77" x14ac:dyDescent="0.25">
      <c r="A12" s="6" t="s">
        <v>111</v>
      </c>
      <c r="B12" s="44">
        <v>0.04</v>
      </c>
      <c r="C12" s="45">
        <v>1000</v>
      </c>
      <c r="D12" s="9">
        <f>C12*(1+$B$12)</f>
        <v>1040</v>
      </c>
      <c r="E12" s="9">
        <f t="shared" ref="E12:V12" si="60">D12*(1+$B$12)</f>
        <v>1081.6000000000001</v>
      </c>
      <c r="F12" s="9">
        <f t="shared" si="60"/>
        <v>1124.8640000000003</v>
      </c>
      <c r="G12" s="9">
        <f t="shared" si="60"/>
        <v>1169.8585600000004</v>
      </c>
      <c r="H12" s="9">
        <f>G12*(1+$B$12)</f>
        <v>1216.6529024000004</v>
      </c>
      <c r="I12" s="9">
        <f t="shared" si="60"/>
        <v>1265.3190184960004</v>
      </c>
      <c r="J12" s="9">
        <f t="shared" si="60"/>
        <v>1315.9317792358404</v>
      </c>
      <c r="K12" s="9">
        <f t="shared" si="60"/>
        <v>1368.5690504052741</v>
      </c>
      <c r="L12" s="9">
        <f t="shared" si="60"/>
        <v>1423.311812421485</v>
      </c>
      <c r="M12" s="9">
        <f t="shared" si="60"/>
        <v>1480.2442849183444</v>
      </c>
      <c r="N12" s="9">
        <f t="shared" si="60"/>
        <v>1539.4540563150783</v>
      </c>
      <c r="O12" s="9">
        <f>N12*(1+$B$12)</f>
        <v>1601.0322185676814</v>
      </c>
      <c r="P12" s="9">
        <f t="shared" si="60"/>
        <v>1665.0735073103888</v>
      </c>
      <c r="Q12" s="9">
        <f t="shared" si="60"/>
        <v>1731.6764476028043</v>
      </c>
      <c r="R12" s="9">
        <f t="shared" si="60"/>
        <v>1800.9435055069166</v>
      </c>
      <c r="S12" s="9">
        <f t="shared" si="60"/>
        <v>1872.9812457271933</v>
      </c>
      <c r="T12" s="9">
        <f t="shared" si="60"/>
        <v>1947.9004955562812</v>
      </c>
      <c r="U12" s="9">
        <f t="shared" si="60"/>
        <v>2025.8165153785326</v>
      </c>
      <c r="V12" s="9">
        <f t="shared" si="60"/>
        <v>2106.8491759936742</v>
      </c>
      <c r="W12" s="9">
        <f>V12*(1+$B$12)</f>
        <v>2191.123143033421</v>
      </c>
      <c r="X12" s="9">
        <f t="shared" ref="X12:AJ12" si="61">W12*(1+$B$12)</f>
        <v>2278.7680687547581</v>
      </c>
      <c r="Y12" s="9">
        <f t="shared" si="61"/>
        <v>2369.9187915049483</v>
      </c>
      <c r="Z12" s="9">
        <f t="shared" si="61"/>
        <v>2464.7155431651463</v>
      </c>
      <c r="AA12" s="9">
        <f t="shared" si="61"/>
        <v>2563.3041648917524</v>
      </c>
      <c r="AB12" s="9">
        <f t="shared" si="61"/>
        <v>2665.8363314874227</v>
      </c>
      <c r="AC12" s="9">
        <f t="shared" si="61"/>
        <v>2772.4697847469197</v>
      </c>
      <c r="AD12" s="9">
        <f t="shared" si="61"/>
        <v>2883.3685761367965</v>
      </c>
      <c r="AE12" s="9">
        <f t="shared" si="61"/>
        <v>2998.7033191822684</v>
      </c>
      <c r="AF12" s="9">
        <f t="shared" si="61"/>
        <v>3118.651451949559</v>
      </c>
      <c r="AG12" s="9">
        <f t="shared" si="61"/>
        <v>3243.3975100275416</v>
      </c>
      <c r="AH12" s="9">
        <f t="shared" si="61"/>
        <v>3373.1334104286434</v>
      </c>
      <c r="AI12" s="9">
        <f t="shared" si="61"/>
        <v>3508.0587468457893</v>
      </c>
      <c r="AJ12" s="9">
        <f t="shared" si="61"/>
        <v>3648.3810967196209</v>
      </c>
      <c r="AK12" s="9">
        <f t="shared" ref="AK12:AZ12" si="62">AJ12*(1+$B$12)</f>
        <v>3794.3163405884061</v>
      </c>
      <c r="AL12" s="9">
        <f t="shared" si="62"/>
        <v>3946.0889942119425</v>
      </c>
      <c r="AM12" s="9">
        <f t="shared" si="62"/>
        <v>4103.9325539804204</v>
      </c>
      <c r="AN12" s="9">
        <f t="shared" si="62"/>
        <v>4268.089856139637</v>
      </c>
      <c r="AO12" s="9">
        <f t="shared" si="62"/>
        <v>4438.8134503852225</v>
      </c>
      <c r="AP12" s="9">
        <f t="shared" si="62"/>
        <v>4616.365988400632</v>
      </c>
      <c r="AQ12" s="9">
        <f t="shared" si="62"/>
        <v>4801.0206279366575</v>
      </c>
      <c r="AR12" s="9">
        <f t="shared" si="62"/>
        <v>4993.0614530541243</v>
      </c>
      <c r="AS12" s="9">
        <f t="shared" si="62"/>
        <v>5192.7839111762896</v>
      </c>
      <c r="AT12" s="9">
        <f t="shared" si="62"/>
        <v>5400.4952676233415</v>
      </c>
      <c r="AU12" s="9">
        <f t="shared" si="62"/>
        <v>5616.5150783282752</v>
      </c>
      <c r="AV12" s="9">
        <f t="shared" si="62"/>
        <v>5841.1756814614064</v>
      </c>
      <c r="AW12" s="9">
        <f t="shared" si="62"/>
        <v>6074.8227087198629</v>
      </c>
      <c r="AX12" s="9">
        <f t="shared" si="62"/>
        <v>6317.815617068658</v>
      </c>
      <c r="AY12" s="9">
        <f t="shared" si="62"/>
        <v>6570.5282417514045</v>
      </c>
      <c r="AZ12" s="9">
        <f t="shared" si="62"/>
        <v>6833.349371421461</v>
      </c>
      <c r="BA12" s="9">
        <f t="shared" ref="BA12:BY12" si="63">AZ12*(1+$B$12)</f>
        <v>7106.6833462783197</v>
      </c>
      <c r="BB12" s="9">
        <f t="shared" si="63"/>
        <v>7390.9506801294528</v>
      </c>
      <c r="BC12" s="9">
        <f t="shared" si="63"/>
        <v>7686.5887073346312</v>
      </c>
      <c r="BD12" s="9">
        <f t="shared" si="63"/>
        <v>7994.0522556280166</v>
      </c>
      <c r="BE12" s="9">
        <f t="shared" si="63"/>
        <v>8313.8143458531376</v>
      </c>
      <c r="BF12" s="9">
        <f t="shared" si="63"/>
        <v>8646.3669196872634</v>
      </c>
      <c r="BG12" s="9">
        <f t="shared" si="63"/>
        <v>8992.2215964747538</v>
      </c>
      <c r="BH12" s="9">
        <f t="shared" si="63"/>
        <v>9351.9104603337437</v>
      </c>
      <c r="BI12" s="9">
        <f t="shared" si="63"/>
        <v>9725.9868787470932</v>
      </c>
      <c r="BJ12" s="9">
        <f t="shared" si="63"/>
        <v>10115.026353896978</v>
      </c>
      <c r="BK12" s="9">
        <f t="shared" si="63"/>
        <v>10519.627408052856</v>
      </c>
      <c r="BL12" s="9">
        <f t="shared" si="63"/>
        <v>10940.412504374972</v>
      </c>
      <c r="BM12" s="9">
        <f t="shared" si="63"/>
        <v>11378.029004549971</v>
      </c>
      <c r="BN12" s="9">
        <f t="shared" si="63"/>
        <v>11833.150164731971</v>
      </c>
      <c r="BO12" s="9">
        <f t="shared" si="63"/>
        <v>12306.47617132125</v>
      </c>
      <c r="BP12" s="9">
        <f t="shared" si="63"/>
        <v>12798.735218174101</v>
      </c>
      <c r="BQ12" s="9">
        <f t="shared" si="63"/>
        <v>13310.684626901066</v>
      </c>
      <c r="BR12" s="9">
        <f t="shared" si="63"/>
        <v>13843.112011977109</v>
      </c>
      <c r="BS12" s="9">
        <f t="shared" si="63"/>
        <v>14396.836492456194</v>
      </c>
      <c r="BT12" s="9">
        <f t="shared" si="63"/>
        <v>14972.709952154442</v>
      </c>
      <c r="BU12" s="9">
        <f t="shared" si="63"/>
        <v>15571.61835024062</v>
      </c>
      <c r="BV12" s="9">
        <f t="shared" si="63"/>
        <v>16194.483084250245</v>
      </c>
      <c r="BW12" s="9">
        <f t="shared" si="63"/>
        <v>16842.262407620256</v>
      </c>
      <c r="BX12" s="9">
        <f t="shared" si="63"/>
        <v>17515.952903925066</v>
      </c>
      <c r="BY12" s="9">
        <f t="shared" si="63"/>
        <v>18216.591020082069</v>
      </c>
    </row>
    <row r="13" spans="1:77" x14ac:dyDescent="0.25">
      <c r="A13" s="4" t="s">
        <v>29</v>
      </c>
      <c r="B13" s="16"/>
      <c r="C13" s="5">
        <f>IF(C11=C5,C11*C12,(C9+C10)*C12)</f>
        <v>2000</v>
      </c>
      <c r="D13" s="5">
        <f>IF(D11=D5,(D11-C11)*D12,(D9+D10)*D12)</f>
        <v>1040</v>
      </c>
      <c r="E13" s="5">
        <f>IF(E11=E5,(E11-D11)*E12,(E9+E10)*E12)</f>
        <v>2163.2000000000003</v>
      </c>
      <c r="F13" s="5">
        <f>IF(F11=F5,(F11-E11)*F12,(F9+F10)*F12)</f>
        <v>1124.8640000000003</v>
      </c>
      <c r="G13" s="5">
        <f t="shared" ref="G13:BR13" si="64">IF(G11=G5,(G11-F11)*G12,(G9+G10)*G12)</f>
        <v>2339.7171200000007</v>
      </c>
      <c r="H13" s="5">
        <f t="shared" si="64"/>
        <v>2433.3058048000007</v>
      </c>
      <c r="I13" s="5">
        <f t="shared" si="64"/>
        <v>3795.9570554880011</v>
      </c>
      <c r="J13" s="5">
        <f t="shared" si="64"/>
        <v>1315.9317792358404</v>
      </c>
      <c r="K13" s="5">
        <f t="shared" si="64"/>
        <v>4105.7071512158218</v>
      </c>
      <c r="L13" s="5">
        <f t="shared" si="64"/>
        <v>2846.62362484297</v>
      </c>
      <c r="M13" s="5">
        <f t="shared" si="64"/>
        <v>2960.4885698366888</v>
      </c>
      <c r="N13" s="5">
        <f t="shared" si="64"/>
        <v>1539.4540563150783</v>
      </c>
      <c r="O13" s="5">
        <f t="shared" si="64"/>
        <v>4803.0966557030442</v>
      </c>
      <c r="P13" s="5">
        <f t="shared" si="64"/>
        <v>4995.2205219311663</v>
      </c>
      <c r="Q13" s="5">
        <f t="shared" si="64"/>
        <v>5195.0293428084133</v>
      </c>
      <c r="R13" s="5">
        <f t="shared" si="64"/>
        <v>5402.8305165207494</v>
      </c>
      <c r="S13" s="5">
        <f t="shared" si="64"/>
        <v>5618.9437371815802</v>
      </c>
      <c r="T13" s="5">
        <f t="shared" si="64"/>
        <v>3895.8009911125623</v>
      </c>
      <c r="U13" s="5">
        <f t="shared" si="64"/>
        <v>6077.4495461355982</v>
      </c>
      <c r="V13" s="5">
        <f t="shared" si="64"/>
        <v>4213.6983519873484</v>
      </c>
      <c r="W13" s="5">
        <f t="shared" si="64"/>
        <v>4382.246286066842</v>
      </c>
      <c r="X13" s="5">
        <f t="shared" si="64"/>
        <v>4557.5361375095163</v>
      </c>
      <c r="Y13" s="5">
        <f t="shared" si="64"/>
        <v>4739.8375830098967</v>
      </c>
      <c r="Z13" s="5">
        <f t="shared" si="64"/>
        <v>4929.4310863302926</v>
      </c>
      <c r="AA13" s="5">
        <f t="shared" si="64"/>
        <v>10253.21665956701</v>
      </c>
      <c r="AB13" s="5">
        <f t="shared" si="64"/>
        <v>5331.6726629748455</v>
      </c>
      <c r="AC13" s="5">
        <f t="shared" si="64"/>
        <v>5544.9395694938394</v>
      </c>
      <c r="AD13" s="5">
        <f t="shared" si="64"/>
        <v>5766.737152273593</v>
      </c>
      <c r="AE13" s="5">
        <f t="shared" si="64"/>
        <v>11994.813276729074</v>
      </c>
      <c r="AF13" s="5">
        <f t="shared" si="64"/>
        <v>6237.3029038991181</v>
      </c>
      <c r="AG13" s="5">
        <f t="shared" si="64"/>
        <v>6486.7950200550831</v>
      </c>
      <c r="AH13" s="5">
        <f t="shared" si="64"/>
        <v>6746.2668208572868</v>
      </c>
      <c r="AI13" s="5">
        <f t="shared" si="64"/>
        <v>7016.1174936915786</v>
      </c>
      <c r="AJ13" s="5">
        <f t="shared" si="64"/>
        <v>7296.7621934392419</v>
      </c>
      <c r="AK13" s="5">
        <f t="shared" si="64"/>
        <v>7588.6326811768122</v>
      </c>
      <c r="AL13" s="5">
        <f t="shared" si="64"/>
        <v>7892.1779884238849</v>
      </c>
      <c r="AM13" s="5">
        <f t="shared" si="64"/>
        <v>12311.797661941262</v>
      </c>
      <c r="AN13" s="5">
        <f t="shared" si="64"/>
        <v>12804.269568418911</v>
      </c>
      <c r="AO13" s="5">
        <f t="shared" si="64"/>
        <v>8877.626900770445</v>
      </c>
      <c r="AP13" s="5">
        <f t="shared" si="64"/>
        <v>13849.097965201896</v>
      </c>
      <c r="AQ13" s="5">
        <f t="shared" si="64"/>
        <v>14403.061883809973</v>
      </c>
      <c r="AR13" s="5">
        <f t="shared" si="64"/>
        <v>14979.184359162373</v>
      </c>
      <c r="AS13" s="5">
        <f t="shared" si="64"/>
        <v>15578.351733528869</v>
      </c>
      <c r="AT13" s="5">
        <f t="shared" si="64"/>
        <v>10800.990535246683</v>
      </c>
      <c r="AU13" s="5">
        <f t="shared" si="64"/>
        <v>11233.03015665655</v>
      </c>
      <c r="AV13" s="5">
        <f t="shared" si="64"/>
        <v>23364.702725845626</v>
      </c>
      <c r="AW13" s="5">
        <f t="shared" si="64"/>
        <v>12149.645417439726</v>
      </c>
      <c r="AX13" s="5">
        <f t="shared" si="64"/>
        <v>12635.631234137316</v>
      </c>
      <c r="AY13" s="5">
        <f t="shared" si="64"/>
        <v>13141.056483502809</v>
      </c>
      <c r="AZ13" s="5">
        <f t="shared" si="64"/>
        <v>13666.698742842922</v>
      </c>
      <c r="BA13" s="5">
        <f t="shared" si="64"/>
        <v>14213.366692556639</v>
      </c>
      <c r="BB13" s="5">
        <f t="shared" si="64"/>
        <v>14781.901360258906</v>
      </c>
      <c r="BC13" s="5">
        <f t="shared" si="64"/>
        <v>15373.177414669262</v>
      </c>
      <c r="BD13" s="5">
        <f t="shared" si="64"/>
        <v>15988.104511256033</v>
      </c>
      <c r="BE13" s="5">
        <f t="shared" si="64"/>
        <v>16627.628691706275</v>
      </c>
      <c r="BF13" s="5">
        <f t="shared" si="64"/>
        <v>17292.733839374527</v>
      </c>
      <c r="BG13" s="5">
        <f t="shared" si="64"/>
        <v>17984.443192949508</v>
      </c>
      <c r="BH13" s="5">
        <f t="shared" si="64"/>
        <v>18703.820920667487</v>
      </c>
      <c r="BI13" s="5">
        <f t="shared" si="64"/>
        <v>19451.973757494186</v>
      </c>
      <c r="BJ13" s="5">
        <f t="shared" si="64"/>
        <v>20230.052707793955</v>
      </c>
      <c r="BK13" s="5">
        <f t="shared" si="64"/>
        <v>21039.254816105713</v>
      </c>
      <c r="BL13" s="5">
        <f t="shared" si="64"/>
        <v>21880.825008749944</v>
      </c>
      <c r="BM13" s="5">
        <f t="shared" si="64"/>
        <v>22756.058009099943</v>
      </c>
      <c r="BN13" s="5">
        <f t="shared" si="64"/>
        <v>23666.300329463942</v>
      </c>
      <c r="BO13" s="5">
        <f t="shared" si="64"/>
        <v>24612.9523426425</v>
      </c>
      <c r="BP13" s="5">
        <f t="shared" si="64"/>
        <v>25597.470436348201</v>
      </c>
      <c r="BQ13" s="5">
        <f t="shared" si="64"/>
        <v>26621.369253802131</v>
      </c>
      <c r="BR13" s="5">
        <f t="shared" si="64"/>
        <v>27686.224023954219</v>
      </c>
      <c r="BS13" s="5">
        <f t="shared" ref="BS13:BY13" si="65">IF(BS11=BS5,(BS11-BR11)*BS12,(BS9+BS10)*BS12)</f>
        <v>28793.672984912388</v>
      </c>
      <c r="BT13" s="5">
        <f t="shared" si="65"/>
        <v>29945.419904308885</v>
      </c>
      <c r="BU13" s="5">
        <f t="shared" si="65"/>
        <v>31143.23670048124</v>
      </c>
      <c r="BV13" s="5">
        <f t="shared" si="65"/>
        <v>32388.96616850049</v>
      </c>
      <c r="BW13" s="5">
        <f t="shared" si="65"/>
        <v>33684.524815240511</v>
      </c>
      <c r="BX13" s="5">
        <f t="shared" si="65"/>
        <v>35031.905807850133</v>
      </c>
      <c r="BY13" s="5">
        <f t="shared" si="65"/>
        <v>18216.591020082069</v>
      </c>
    </row>
    <row r="14" spans="1:77" ht="9" customHeight="1" x14ac:dyDescent="0.25">
      <c r="B14" s="15"/>
      <c r="C14" s="3"/>
    </row>
    <row r="15" spans="1:77" x14ac:dyDescent="0.25">
      <c r="A15" t="s">
        <v>113</v>
      </c>
      <c r="B15" s="46">
        <v>5.2499999999999998E-2</v>
      </c>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row>
    <row r="16" spans="1:77" x14ac:dyDescent="0.25">
      <c r="A16" s="4" t="s">
        <v>28</v>
      </c>
      <c r="B16" s="16"/>
      <c r="C16" s="5">
        <f>B15*80000</f>
        <v>4200</v>
      </c>
      <c r="D16" s="5">
        <f t="shared" ref="D16:W16" si="66">$B$15*C31</f>
        <v>5675.7749999999996</v>
      </c>
      <c r="E16" s="5">
        <f t="shared" si="66"/>
        <v>6649.6168593749999</v>
      </c>
      <c r="F16" s="5">
        <f t="shared" si="66"/>
        <v>7413.902818710937</v>
      </c>
      <c r="G16" s="5">
        <f>$B$15*F31</f>
        <v>8201.1607019569328</v>
      </c>
      <c r="H16" s="5">
        <f t="shared" si="66"/>
        <v>8442.5246056513733</v>
      </c>
      <c r="I16" s="5">
        <f t="shared" si="66"/>
        <v>9004.0984922156713</v>
      </c>
      <c r="J16" s="5">
        <f t="shared" si="66"/>
        <v>9662.3548876468903</v>
      </c>
      <c r="K16" s="5">
        <f t="shared" si="66"/>
        <v>10268.565094598853</v>
      </c>
      <c r="L16" s="5">
        <f t="shared" si="66"/>
        <v>10602.364449843248</v>
      </c>
      <c r="M16" s="5">
        <f t="shared" si="66"/>
        <v>10569.883594219466</v>
      </c>
      <c r="N16" s="5">
        <f t="shared" si="66"/>
        <v>10868.647103757035</v>
      </c>
      <c r="O16" s="5">
        <f t="shared" si="66"/>
        <v>11122.84767992303</v>
      </c>
      <c r="P16" s="5">
        <f t="shared" si="66"/>
        <v>11522.892409925873</v>
      </c>
      <c r="Q16" s="5">
        <f t="shared" si="66"/>
        <v>11950.689184773139</v>
      </c>
      <c r="R16" s="5">
        <f t="shared" si="66"/>
        <v>12034.444748836442</v>
      </c>
      <c r="S16" s="5">
        <f t="shared" si="66"/>
        <v>12504.499041237423</v>
      </c>
      <c r="T16" s="5">
        <f t="shared" si="66"/>
        <v>13007.95151966191</v>
      </c>
      <c r="U16" s="5">
        <f t="shared" si="66"/>
        <v>13465.489909404958</v>
      </c>
      <c r="V16" s="5">
        <f t="shared" si="66"/>
        <v>14039.059444476265</v>
      </c>
      <c r="W16" s="5">
        <f t="shared" si="66"/>
        <v>14141.659557478624</v>
      </c>
      <c r="X16" s="5">
        <f t="shared" ref="X16:AJ16" si="67">$B$15*W31</f>
        <v>14680.635973627393</v>
      </c>
      <c r="Y16" s="5">
        <f t="shared" si="67"/>
        <v>15256.626209659611</v>
      </c>
      <c r="Z16" s="5">
        <f t="shared" si="67"/>
        <v>15872.343593102094</v>
      </c>
      <c r="AA16" s="5">
        <f t="shared" si="67"/>
        <v>16530.685240247676</v>
      </c>
      <c r="AB16" s="5">
        <f t="shared" si="67"/>
        <v>16976.635640476154</v>
      </c>
      <c r="AC16" s="5">
        <f t="shared" si="67"/>
        <v>17716.160169648385</v>
      </c>
      <c r="AD16" s="5">
        <f t="shared" si="67"/>
        <v>18507.510784441703</v>
      </c>
      <c r="AE16" s="5">
        <f t="shared" si="67"/>
        <v>19354.405171302751</v>
      </c>
      <c r="AF16" s="5">
        <f t="shared" si="67"/>
        <v>20521.953641686312</v>
      </c>
      <c r="AG16" s="5">
        <f t="shared" si="67"/>
        <v>20964.322600359785</v>
      </c>
      <c r="AH16" s="5">
        <f t="shared" si="67"/>
        <v>21988.703974748063</v>
      </c>
      <c r="AI16" s="5">
        <f t="shared" si="67"/>
        <v>23085.392636551627</v>
      </c>
      <c r="AJ16" s="5">
        <f t="shared" si="67"/>
        <v>24259.465236163815</v>
      </c>
      <c r="AK16" s="5">
        <f t="shared" ref="AK16:AZ16" si="68">$B$15*AJ31</f>
        <v>25516.329654515604</v>
      </c>
      <c r="AL16" s="5">
        <f t="shared" si="68"/>
        <v>26249.111081751525</v>
      </c>
      <c r="AM16" s="5">
        <f t="shared" si="68"/>
        <v>27657.047172105504</v>
      </c>
      <c r="AN16" s="5">
        <f t="shared" si="68"/>
        <v>29347.237969245365</v>
      </c>
      <c r="AO16" s="5">
        <f t="shared" si="68"/>
        <v>31161.205300726513</v>
      </c>
      <c r="AP16" s="5">
        <f t="shared" si="68"/>
        <v>32908.831146276752</v>
      </c>
      <c r="AQ16" s="5">
        <f t="shared" si="68"/>
        <v>34292.941782673435</v>
      </c>
      <c r="AR16" s="5">
        <f t="shared" si="68"/>
        <v>36484.314538092149</v>
      </c>
      <c r="AS16" s="5">
        <f t="shared" si="68"/>
        <v>38834.536429666565</v>
      </c>
      <c r="AT16" s="5">
        <f t="shared" si="68"/>
        <v>41354.403178055269</v>
      </c>
      <c r="AU16" s="5">
        <f t="shared" si="68"/>
        <v>43810.76710581057</v>
      </c>
      <c r="AV16" s="5">
        <f t="shared" si="68"/>
        <v>45653.021086816567</v>
      </c>
      <c r="AW16" s="5">
        <f t="shared" si="68"/>
        <v>48951.34623356774</v>
      </c>
      <c r="AX16" s="5">
        <f t="shared" si="68"/>
        <v>51937.296912816681</v>
      </c>
      <c r="AY16" s="5">
        <f t="shared" si="68"/>
        <v>55128.68151084079</v>
      </c>
      <c r="AZ16" s="5">
        <f t="shared" si="68"/>
        <v>58539.032951401226</v>
      </c>
      <c r="BA16" s="5">
        <f t="shared" ref="BA16:BY16" si="69">$B$15*AZ31</f>
        <v>61295.447520841684</v>
      </c>
      <c r="BB16" s="5">
        <f t="shared" si="69"/>
        <v>65141.160806938577</v>
      </c>
      <c r="BC16" s="5">
        <f t="shared" si="69"/>
        <v>69249.238702918432</v>
      </c>
      <c r="BD16" s="5">
        <f t="shared" si="69"/>
        <v>72426.120130157215</v>
      </c>
      <c r="BE16" s="5">
        <f t="shared" si="69"/>
        <v>74529.522954983157</v>
      </c>
      <c r="BF16" s="5">
        <f t="shared" si="69"/>
        <v>75709.598316837975</v>
      </c>
      <c r="BG16" s="5">
        <f t="shared" si="69"/>
        <v>77925.373122767938</v>
      </c>
      <c r="BH16" s="5">
        <f t="shared" si="69"/>
        <v>80227.119656265117</v>
      </c>
      <c r="BI16" s="5">
        <f t="shared" si="69"/>
        <v>82619.13724289916</v>
      </c>
      <c r="BJ16" s="5">
        <f t="shared" si="69"/>
        <v>85105.967356923502</v>
      </c>
      <c r="BK16" s="5">
        <f t="shared" si="69"/>
        <v>86556.617989622609</v>
      </c>
      <c r="BL16" s="5">
        <f t="shared" si="69"/>
        <v>89188.107998243795</v>
      </c>
      <c r="BM16" s="5">
        <f t="shared" si="69"/>
        <v>91926.501334589426</v>
      </c>
      <c r="BN16" s="5">
        <f t="shared" si="69"/>
        <v>94777.291912448534</v>
      </c>
      <c r="BO16" s="5">
        <f t="shared" si="69"/>
        <v>97746.285622772237</v>
      </c>
      <c r="BP16" s="5">
        <f t="shared" si="69"/>
        <v>99554.576649569557</v>
      </c>
      <c r="BQ16" s="5">
        <f t="shared" si="69"/>
        <v>102711.26868578323</v>
      </c>
      <c r="BR16" s="5">
        <f t="shared" si="69"/>
        <v>106002.09698091952</v>
      </c>
      <c r="BS16" s="5">
        <f t="shared" si="69"/>
        <v>109434.12025706614</v>
      </c>
      <c r="BT16" s="5">
        <f t="shared" si="69"/>
        <v>113014.80048624556</v>
      </c>
      <c r="BU16" s="5">
        <f t="shared" si="69"/>
        <v>115298.11942101637</v>
      </c>
      <c r="BV16" s="5">
        <f t="shared" si="69"/>
        <v>119123.90008124677</v>
      </c>
      <c r="BW16" s="5">
        <f t="shared" si="69"/>
        <v>123119.37525980659</v>
      </c>
      <c r="BX16" s="5">
        <f t="shared" si="69"/>
        <v>127293.65595670587</v>
      </c>
      <c r="BY16" s="5">
        <f t="shared" si="69"/>
        <v>131656.37579087834</v>
      </c>
    </row>
    <row r="17" spans="1:77" ht="15.75" thickBot="1" x14ac:dyDescent="0.3">
      <c r="A17" s="4" t="s">
        <v>22</v>
      </c>
      <c r="B17" s="15"/>
      <c r="C17" s="7">
        <f>C7+C13+C16</f>
        <v>126200</v>
      </c>
      <c r="D17" s="7">
        <f t="shared" ref="D17:W17" si="70">D7+D13+D16</f>
        <v>31675.775000000001</v>
      </c>
      <c r="E17" s="7">
        <f t="shared" si="70"/>
        <v>28281.616859375004</v>
      </c>
      <c r="F17" s="7">
        <f t="shared" si="70"/>
        <v>28786.318818710937</v>
      </c>
      <c r="G17" s="7">
        <f>G7+G13+G16</f>
        <v>24579.180541956935</v>
      </c>
      <c r="H17" s="7">
        <f t="shared" si="70"/>
        <v>25475.665239251379</v>
      </c>
      <c r="I17" s="7">
        <f t="shared" si="70"/>
        <v>27983.883769655673</v>
      </c>
      <c r="J17" s="7">
        <f t="shared" si="70"/>
        <v>26769.468017712818</v>
      </c>
      <c r="K17" s="7">
        <f t="shared" si="70"/>
        <v>22585.686548246318</v>
      </c>
      <c r="L17" s="7">
        <f t="shared" si="70"/>
        <v>21988.85894921513</v>
      </c>
      <c r="M17" s="7">
        <f t="shared" si="70"/>
        <v>22411.837873566219</v>
      </c>
      <c r="N17" s="7">
        <f t="shared" si="70"/>
        <v>21644.825497962585</v>
      </c>
      <c r="O17" s="7">
        <f>O7+O13+O16</f>
        <v>25532.137647032163</v>
      </c>
      <c r="P17" s="7">
        <f>P7+P13+P16</f>
        <v>26508.553975719373</v>
      </c>
      <c r="Q17" s="7">
        <f t="shared" si="70"/>
        <v>27535.77721319838</v>
      </c>
      <c r="R17" s="7">
        <f t="shared" si="70"/>
        <v>28242.936298398694</v>
      </c>
      <c r="S17" s="7">
        <f t="shared" si="70"/>
        <v>29361.330252782165</v>
      </c>
      <c r="T17" s="7">
        <f t="shared" si="70"/>
        <v>28591.155484112162</v>
      </c>
      <c r="U17" s="7">
        <f t="shared" si="70"/>
        <v>31697.838547811753</v>
      </c>
      <c r="V17" s="7">
        <f t="shared" si="70"/>
        <v>30893.852852425658</v>
      </c>
      <c r="W17" s="7">
        <f t="shared" si="70"/>
        <v>31670.644701745994</v>
      </c>
      <c r="X17" s="7">
        <f t="shared" ref="X17:AJ17" si="71">X7+X13+X16</f>
        <v>32910.78052366546</v>
      </c>
      <c r="Y17" s="7">
        <f t="shared" si="71"/>
        <v>34215.976541699201</v>
      </c>
      <c r="Z17" s="7">
        <f t="shared" si="71"/>
        <v>35590.067938423264</v>
      </c>
      <c r="AA17" s="7">
        <f t="shared" si="71"/>
        <v>42163.726889165198</v>
      </c>
      <c r="AB17" s="7">
        <f t="shared" si="71"/>
        <v>38303.326292375532</v>
      </c>
      <c r="AC17" s="7">
        <f t="shared" si="71"/>
        <v>39895.918447623742</v>
      </c>
      <c r="AD17" s="7">
        <f t="shared" si="71"/>
        <v>41574.459393536075</v>
      </c>
      <c r="AE17" s="7">
        <f t="shared" si="71"/>
        <v>49341.438363125431</v>
      </c>
      <c r="AF17" s="7">
        <f t="shared" si="71"/>
        <v>45471.165257282788</v>
      </c>
      <c r="AG17" s="7">
        <f t="shared" si="71"/>
        <v>46911.502680580117</v>
      </c>
      <c r="AH17" s="7">
        <f t="shared" si="71"/>
        <v>48973.771258177207</v>
      </c>
      <c r="AI17" s="7">
        <f t="shared" si="71"/>
        <v>51149.862611317942</v>
      </c>
      <c r="AJ17" s="7">
        <f t="shared" si="71"/>
        <v>53446.514009920778</v>
      </c>
      <c r="AK17" s="7">
        <f t="shared" ref="AK17:AZ17" si="72">AK7+AK13+AK16</f>
        <v>55870.860379222853</v>
      </c>
      <c r="AL17" s="7">
        <f t="shared" si="72"/>
        <v>57817.823035447065</v>
      </c>
      <c r="AM17" s="7">
        <f t="shared" si="72"/>
        <v>64592.44015792929</v>
      </c>
      <c r="AN17" s="7">
        <f t="shared" si="72"/>
        <v>67760.046674502097</v>
      </c>
      <c r="AO17" s="7">
        <f t="shared" si="72"/>
        <v>66671.712903808293</v>
      </c>
      <c r="AP17" s="7">
        <f t="shared" si="72"/>
        <v>74456.125041882449</v>
      </c>
      <c r="AQ17" s="7">
        <f t="shared" si="72"/>
        <v>77502.127434103342</v>
      </c>
      <c r="AR17" s="7">
        <f t="shared" si="72"/>
        <v>81421.867615579264</v>
      </c>
      <c r="AS17" s="7">
        <f t="shared" si="72"/>
        <v>85569.59163025317</v>
      </c>
      <c r="AT17" s="7">
        <f t="shared" si="72"/>
        <v>84558.365319042001</v>
      </c>
      <c r="AU17" s="7">
        <f t="shared" si="72"/>
        <v>88742.887732436764</v>
      </c>
      <c r="AV17" s="7">
        <f t="shared" si="72"/>
        <v>104064.77790143061</v>
      </c>
      <c r="AW17" s="7">
        <f t="shared" si="72"/>
        <v>97549.927903326636</v>
      </c>
      <c r="AX17" s="7">
        <f t="shared" si="72"/>
        <v>102479.82184936595</v>
      </c>
      <c r="AY17" s="7">
        <f t="shared" si="72"/>
        <v>107692.90744485203</v>
      </c>
      <c r="AZ17" s="7">
        <f t="shared" si="72"/>
        <v>113205.82792277291</v>
      </c>
      <c r="BA17" s="7">
        <f t="shared" ref="BA17:BY17" si="73">BA7+BA13+BA16</f>
        <v>118148.91429106824</v>
      </c>
      <c r="BB17" s="7">
        <f t="shared" si="73"/>
        <v>124268.76624797418</v>
      </c>
      <c r="BC17" s="7">
        <f t="shared" si="73"/>
        <v>107682.18223959158</v>
      </c>
      <c r="BD17" s="7">
        <f t="shared" si="73"/>
        <v>88414.224641413253</v>
      </c>
      <c r="BE17" s="7">
        <f t="shared" si="73"/>
        <v>91157.151646689425</v>
      </c>
      <c r="BF17" s="7">
        <f t="shared" si="73"/>
        <v>93002.332156212506</v>
      </c>
      <c r="BG17" s="7">
        <f t="shared" si="73"/>
        <v>95909.816315717442</v>
      </c>
      <c r="BH17" s="7">
        <f t="shared" si="73"/>
        <v>98930.940576932597</v>
      </c>
      <c r="BI17" s="7">
        <f t="shared" si="73"/>
        <v>102071.11100039334</v>
      </c>
      <c r="BJ17" s="7">
        <f t="shared" si="73"/>
        <v>105336.02006471745</v>
      </c>
      <c r="BK17" s="7">
        <f t="shared" si="73"/>
        <v>107595.87280572832</v>
      </c>
      <c r="BL17" s="7">
        <f t="shared" si="73"/>
        <v>111068.93300699374</v>
      </c>
      <c r="BM17" s="7">
        <f t="shared" si="73"/>
        <v>114682.55934368937</v>
      </c>
      <c r="BN17" s="7">
        <f t="shared" si="73"/>
        <v>118443.59224191247</v>
      </c>
      <c r="BO17" s="7">
        <f t="shared" si="73"/>
        <v>122359.23796541474</v>
      </c>
      <c r="BP17" s="7">
        <f t="shared" si="73"/>
        <v>125152.04708591776</v>
      </c>
      <c r="BQ17" s="7">
        <f t="shared" si="73"/>
        <v>129332.63793958536</v>
      </c>
      <c r="BR17" s="7">
        <f t="shared" si="73"/>
        <v>133688.32100487375</v>
      </c>
      <c r="BS17" s="7">
        <f t="shared" si="73"/>
        <v>138227.79324197854</v>
      </c>
      <c r="BT17" s="7">
        <f t="shared" si="73"/>
        <v>142960.22039055443</v>
      </c>
      <c r="BU17" s="7">
        <f t="shared" si="73"/>
        <v>146441.35612149761</v>
      </c>
      <c r="BV17" s="7">
        <f t="shared" si="73"/>
        <v>151512.86624974725</v>
      </c>
      <c r="BW17" s="7">
        <f t="shared" si="73"/>
        <v>156803.9000750471</v>
      </c>
      <c r="BX17" s="7">
        <f t="shared" si="73"/>
        <v>162325.56176455601</v>
      </c>
      <c r="BY17" s="7">
        <f t="shared" si="73"/>
        <v>149872.96681096041</v>
      </c>
    </row>
    <row r="18" spans="1:77" ht="15.75" thickTop="1" x14ac:dyDescent="0.25">
      <c r="B18" s="15"/>
    </row>
    <row r="19" spans="1:77" x14ac:dyDescent="0.25">
      <c r="A19" s="4" t="s">
        <v>23</v>
      </c>
      <c r="B19" s="16"/>
    </row>
    <row r="20" spans="1:77" x14ac:dyDescent="0.25">
      <c r="A20" t="s">
        <v>24</v>
      </c>
      <c r="B20" s="47">
        <v>2.5000000000000001E-2</v>
      </c>
      <c r="C20" s="48">
        <f>600*12</f>
        <v>7200</v>
      </c>
      <c r="D20" s="3">
        <f t="shared" ref="D20:D26" si="74">C20*(1+$B20)</f>
        <v>7379.9999999999991</v>
      </c>
      <c r="E20" s="3">
        <f t="shared" ref="E20:W26" si="75">D20*(1+$B20)</f>
        <v>7564.4999999999982</v>
      </c>
      <c r="F20" s="3">
        <f t="shared" si="75"/>
        <v>7753.6124999999975</v>
      </c>
      <c r="G20" s="3">
        <f>F20*(1+$B20)</f>
        <v>7947.452812499997</v>
      </c>
      <c r="H20" s="3">
        <f t="shared" si="75"/>
        <v>8146.1391328124964</v>
      </c>
      <c r="I20" s="3">
        <f t="shared" si="75"/>
        <v>8349.7926111328088</v>
      </c>
      <c r="J20" s="3">
        <f t="shared" si="75"/>
        <v>8558.5374264111288</v>
      </c>
      <c r="K20" s="3">
        <f t="shared" si="75"/>
        <v>8772.500862071407</v>
      </c>
      <c r="L20" s="3">
        <f t="shared" si="75"/>
        <v>8991.8133836231918</v>
      </c>
      <c r="M20" s="3">
        <f t="shared" si="75"/>
        <v>9216.6087182137708</v>
      </c>
      <c r="N20" s="3">
        <f t="shared" si="75"/>
        <v>9447.0239361691147</v>
      </c>
      <c r="O20" s="3">
        <f>N20*(1+$B20)</f>
        <v>9683.1995345733412</v>
      </c>
      <c r="P20" s="3">
        <f>O20*(1+$B20)</f>
        <v>9925.2795229376734</v>
      </c>
      <c r="Q20" s="3">
        <f t="shared" si="75"/>
        <v>10173.411511011114</v>
      </c>
      <c r="R20" s="3">
        <f t="shared" si="75"/>
        <v>10427.746798786391</v>
      </c>
      <c r="S20" s="3">
        <f t="shared" si="75"/>
        <v>10688.440468756049</v>
      </c>
      <c r="T20" s="3">
        <f t="shared" si="75"/>
        <v>10955.651480474949</v>
      </c>
      <c r="U20" s="3">
        <f t="shared" si="75"/>
        <v>11229.542767486822</v>
      </c>
      <c r="V20" s="3">
        <f t="shared" si="75"/>
        <v>11510.281336673992</v>
      </c>
      <c r="W20" s="3">
        <f t="shared" si="75"/>
        <v>11798.038370090841</v>
      </c>
      <c r="X20" s="3">
        <f t="shared" ref="X20" si="76">W20*(1+$B20)</f>
        <v>12092.989329343111</v>
      </c>
      <c r="Y20" s="3">
        <f t="shared" ref="Y20" si="77">X20*(1+$B20)</f>
        <v>12395.314062576686</v>
      </c>
      <c r="Z20" s="3">
        <f t="shared" ref="Z20" si="78">Y20*(1+$B20)</f>
        <v>12705.196914141103</v>
      </c>
      <c r="AA20" s="3">
        <f t="shared" ref="AA20" si="79">Z20*(1+$B20)</f>
        <v>13022.826836994629</v>
      </c>
      <c r="AB20" s="3">
        <f t="shared" ref="AB20" si="80">AA20*(1+$B20)</f>
        <v>13348.397507919493</v>
      </c>
      <c r="AC20" s="3">
        <f t="shared" ref="AC20" si="81">AB20*(1+$B20)</f>
        <v>13682.107445617479</v>
      </c>
      <c r="AD20" s="3">
        <f t="shared" ref="AD20" si="82">AC20*(1+$B20)</f>
        <v>14024.160131757915</v>
      </c>
      <c r="AE20" s="3">
        <f t="shared" ref="AE20" si="83">AD20*(1+$B20)</f>
        <v>14374.764135051862</v>
      </c>
      <c r="AF20" s="3">
        <f t="shared" ref="AF20" si="84">AE20*(1+$B20)</f>
        <v>14734.133238428158</v>
      </c>
      <c r="AG20" s="3">
        <f t="shared" ref="AG20" si="85">AF20*(1+$B20)</f>
        <v>15102.486569388861</v>
      </c>
      <c r="AH20" s="3">
        <f t="shared" ref="AH20" si="86">AG20*(1+$B20)</f>
        <v>15480.04873362358</v>
      </c>
      <c r="AI20" s="3">
        <f t="shared" ref="AI20" si="87">AH20*(1+$B20)</f>
        <v>15867.049951964169</v>
      </c>
      <c r="AJ20" s="3">
        <f t="shared" ref="AJ20" si="88">AI20*(1+$B20)</f>
        <v>16263.726200763273</v>
      </c>
      <c r="AK20" s="3">
        <f t="shared" ref="AK20" si="89">AJ20*(1+$B20)</f>
        <v>16670.319355782354</v>
      </c>
      <c r="AL20" s="3">
        <f t="shared" ref="AL20" si="90">AK20*(1+$B20)</f>
        <v>17087.077339676911</v>
      </c>
      <c r="AM20" s="3">
        <f t="shared" ref="AM20" si="91">AL20*(1+$B20)</f>
        <v>17514.254273168834</v>
      </c>
      <c r="AN20" s="3">
        <f t="shared" ref="AN20" si="92">AM20*(1+$B20)</f>
        <v>17952.110629998053</v>
      </c>
      <c r="AO20" s="3">
        <f t="shared" ref="AO20" si="93">AN20*(1+$B20)</f>
        <v>18400.913395748004</v>
      </c>
      <c r="AP20" s="3">
        <f t="shared" ref="AP20" si="94">AO20*(1+$B20)</f>
        <v>18860.936230641702</v>
      </c>
      <c r="AQ20" s="3">
        <f t="shared" ref="AQ20" si="95">AP20*(1+$B20)</f>
        <v>19332.459636407744</v>
      </c>
      <c r="AR20" s="3">
        <f t="shared" ref="AR20" si="96">AQ20*(1+$B20)</f>
        <v>19815.771127317937</v>
      </c>
      <c r="AS20" s="3">
        <f t="shared" ref="AS20" si="97">AR20*(1+$B20)</f>
        <v>20311.165405500884</v>
      </c>
      <c r="AT20" s="3">
        <f t="shared" ref="AT20" si="98">AS20*(1+$B20)</f>
        <v>20818.944540638404</v>
      </c>
      <c r="AU20" s="3">
        <f t="shared" ref="AU20" si="99">AT20*(1+$B20)</f>
        <v>21339.418154154362</v>
      </c>
      <c r="AV20" s="3">
        <f t="shared" ref="AV20" si="100">AU20*(1+$B20)</f>
        <v>21872.903608008219</v>
      </c>
      <c r="AW20" s="3">
        <f t="shared" ref="AW20" si="101">AV20*(1+$B20)</f>
        <v>22419.726198208424</v>
      </c>
      <c r="AX20" s="3">
        <f t="shared" ref="AX20" si="102">AW20*(1+$B20)</f>
        <v>22980.219353163633</v>
      </c>
      <c r="AY20" s="3">
        <f t="shared" ref="AY20" si="103">AX20*(1+$B20)</f>
        <v>23554.724836992722</v>
      </c>
      <c r="AZ20" s="3">
        <f t="shared" ref="AZ20:BA20" si="104">AY20*(1+$B20)</f>
        <v>24143.592957917539</v>
      </c>
      <c r="BA20" s="3">
        <f t="shared" si="104"/>
        <v>24747.182781865475</v>
      </c>
      <c r="BB20" s="3">
        <f t="shared" ref="BB20" si="105">BA20*(1+$B20)</f>
        <v>25365.86235141211</v>
      </c>
      <c r="BC20" s="3">
        <f t="shared" ref="BC20" si="106">BB20*(1+$B20)</f>
        <v>26000.008910197412</v>
      </c>
      <c r="BD20" s="3">
        <f t="shared" ref="BD20" si="107">BC20*(1+$B20)</f>
        <v>26650.009132952346</v>
      </c>
      <c r="BE20" s="3">
        <f t="shared" ref="BE20" si="108">BD20*(1+$B20)</f>
        <v>27316.259361276152</v>
      </c>
      <c r="BF20" s="3">
        <f t="shared" ref="BF20" si="109">BE20*(1+$B20)</f>
        <v>27999.165845308053</v>
      </c>
      <c r="BG20" s="3">
        <f t="shared" ref="BG20" si="110">BF20*(1+$B20)</f>
        <v>28699.144991440753</v>
      </c>
      <c r="BH20" s="3">
        <f t="shared" ref="BH20" si="111">BG20*(1+$B20)</f>
        <v>29416.623616226771</v>
      </c>
      <c r="BI20" s="3">
        <f t="shared" ref="BI20" si="112">BH20*(1+$B20)</f>
        <v>30152.039206632438</v>
      </c>
      <c r="BJ20" s="3">
        <f t="shared" ref="BJ20" si="113">BI20*(1+$B20)</f>
        <v>30905.840186798247</v>
      </c>
      <c r="BK20" s="3">
        <f t="shared" ref="BK20" si="114">BJ20*(1+$B20)</f>
        <v>31678.486191468201</v>
      </c>
      <c r="BL20" s="3">
        <f t="shared" ref="BL20" si="115">BK20*(1+$B20)</f>
        <v>32470.448346254903</v>
      </c>
      <c r="BM20" s="3">
        <f t="shared" ref="BM20" si="116">BL20*(1+$B20)</f>
        <v>33282.209554911271</v>
      </c>
      <c r="BN20" s="3">
        <f t="shared" ref="BN20" si="117">BM20*(1+$B20)</f>
        <v>34114.264793784052</v>
      </c>
      <c r="BO20" s="3">
        <f t="shared" ref="BO20" si="118">BN20*(1+$B20)</f>
        <v>34967.121413628651</v>
      </c>
      <c r="BP20" s="3">
        <f t="shared" ref="BP20" si="119">BO20*(1+$B20)</f>
        <v>35841.299448969366</v>
      </c>
      <c r="BQ20" s="3">
        <f t="shared" ref="BQ20" si="120">BP20*(1+$B20)</f>
        <v>36737.331935193601</v>
      </c>
      <c r="BR20" s="3">
        <f t="shared" ref="BR20" si="121">BQ20*(1+$B20)</f>
        <v>37655.765233573438</v>
      </c>
      <c r="BS20" s="3">
        <f t="shared" ref="BS20" si="122">BR20*(1+$B20)</f>
        <v>38597.159364412772</v>
      </c>
      <c r="BT20" s="3">
        <f t="shared" ref="BT20" si="123">BS20*(1+$B20)</f>
        <v>39562.088348523088</v>
      </c>
      <c r="BU20" s="3">
        <f t="shared" ref="BU20" si="124">BT20*(1+$B20)</f>
        <v>40551.140557236162</v>
      </c>
      <c r="BV20" s="3">
        <f t="shared" ref="BV20" si="125">BU20*(1+$B20)</f>
        <v>41564.91907116706</v>
      </c>
      <c r="BW20" s="3">
        <f t="shared" ref="BW20" si="126">BV20*(1+$B20)</f>
        <v>42604.042047946234</v>
      </c>
      <c r="BX20" s="3">
        <f t="shared" ref="BX20" si="127">BW20*(1+$B20)</f>
        <v>43669.143099144887</v>
      </c>
      <c r="BY20" s="3">
        <f t="shared" ref="BY20" si="128">BX20*(1+$B20)</f>
        <v>44760.871676623508</v>
      </c>
    </row>
    <row r="21" spans="1:77" s="52" customFormat="1" ht="45" x14ac:dyDescent="0.25">
      <c r="A21" s="50" t="s">
        <v>229</v>
      </c>
      <c r="B21" s="47">
        <v>0.7</v>
      </c>
      <c r="C21" s="51">
        <f>C20*$B$21</f>
        <v>5040</v>
      </c>
      <c r="D21" s="51"/>
      <c r="E21" s="51"/>
      <c r="F21" s="51"/>
      <c r="G21" s="51">
        <f>G20*$B$21</f>
        <v>5563.2169687499972</v>
      </c>
      <c r="H21" s="51"/>
      <c r="I21" s="51"/>
      <c r="J21" s="51"/>
      <c r="K21" s="51"/>
      <c r="L21" s="51">
        <f>L20*$B$21</f>
        <v>6294.2693685362337</v>
      </c>
      <c r="M21" s="51"/>
      <c r="N21" s="51"/>
      <c r="O21" s="51"/>
      <c r="P21" s="51"/>
      <c r="Q21" s="51">
        <f>Q20*$B$21</f>
        <v>7121.3880577077798</v>
      </c>
      <c r="R21" s="51"/>
      <c r="S21" s="51"/>
      <c r="T21" s="51"/>
      <c r="U21" s="51"/>
      <c r="V21" s="51">
        <f>V20*$B$21</f>
        <v>8057.1969356717937</v>
      </c>
      <c r="W21" s="51"/>
      <c r="X21" s="51"/>
      <c r="Y21" s="51"/>
      <c r="Z21" s="51"/>
      <c r="AA21" s="51">
        <f>AA20*$B$21</f>
        <v>9115.9787858962391</v>
      </c>
      <c r="AB21" s="51"/>
      <c r="AC21" s="51"/>
      <c r="AD21" s="51"/>
      <c r="AE21" s="51"/>
      <c r="AF21" s="51">
        <f>AF20*$B$21</f>
        <v>10313.893266899709</v>
      </c>
      <c r="AG21" s="51"/>
      <c r="AH21" s="51"/>
      <c r="AI21" s="51"/>
      <c r="AJ21" s="51"/>
      <c r="AK21" s="51">
        <f>AK20*$B$21</f>
        <v>11669.223549047647</v>
      </c>
      <c r="AL21" s="51"/>
      <c r="AM21" s="51"/>
      <c r="AN21" s="51"/>
      <c r="AO21" s="51"/>
      <c r="AP21" s="51">
        <f>AP20*$B$21</f>
        <v>13202.655361449191</v>
      </c>
      <c r="AQ21" s="51"/>
      <c r="AR21" s="51"/>
      <c r="AS21" s="51"/>
      <c r="AT21" s="51"/>
      <c r="AU21" s="51">
        <f>AU20*$B$21</f>
        <v>14937.592707908052</v>
      </c>
      <c r="AV21" s="51"/>
      <c r="AW21" s="51"/>
      <c r="AX21" s="51"/>
      <c r="AY21" s="51"/>
      <c r="AZ21" s="51">
        <f>AZ20*$B$21</f>
        <v>16900.515070542275</v>
      </c>
      <c r="BA21" s="51"/>
      <c r="BB21" s="51"/>
      <c r="BC21" s="51"/>
      <c r="BD21" s="51"/>
      <c r="BE21" s="51">
        <f>BE20*$B$21</f>
        <v>19121.381552893305</v>
      </c>
      <c r="BF21" s="51"/>
      <c r="BG21" s="51"/>
      <c r="BH21" s="51"/>
      <c r="BI21" s="51"/>
      <c r="BJ21" s="51">
        <f>BJ20*$B$21</f>
        <v>21634.08813075877</v>
      </c>
      <c r="BK21" s="51"/>
      <c r="BL21" s="51"/>
      <c r="BM21" s="51"/>
      <c r="BN21" s="51"/>
      <c r="BO21" s="51">
        <f>BO20*$B$21</f>
        <v>24476.984989540055</v>
      </c>
      <c r="BP21" s="51"/>
      <c r="BQ21" s="51"/>
      <c r="BR21" s="51"/>
      <c r="BS21" s="51"/>
      <c r="BT21" s="51">
        <f>BT20*$B$21</f>
        <v>27693.461843966161</v>
      </c>
      <c r="BU21" s="51"/>
      <c r="BV21" s="51"/>
      <c r="BW21" s="51"/>
      <c r="BX21" s="51"/>
      <c r="BY21" s="51">
        <f>BY20*$B$21</f>
        <v>31332.610173636454</v>
      </c>
    </row>
    <row r="22" spans="1:77" x14ac:dyDescent="0.25">
      <c r="A22" t="s">
        <v>32</v>
      </c>
      <c r="B22" s="47">
        <v>2.5000000000000001E-2</v>
      </c>
      <c r="C22" s="48">
        <v>1000</v>
      </c>
      <c r="D22" s="3">
        <f t="shared" si="74"/>
        <v>1025</v>
      </c>
      <c r="E22" s="3">
        <f t="shared" ref="E22:S22" si="129">D22*(1+$B22)</f>
        <v>1050.625</v>
      </c>
      <c r="F22" s="3">
        <f t="shared" si="129"/>
        <v>1076.890625</v>
      </c>
      <c r="G22" s="3">
        <f>F22*(1+$B22)</f>
        <v>1103.8128906249999</v>
      </c>
      <c r="H22" s="3">
        <f t="shared" si="129"/>
        <v>1131.4082128906248</v>
      </c>
      <c r="I22" s="3">
        <f t="shared" si="129"/>
        <v>1159.6934182128903</v>
      </c>
      <c r="J22" s="3">
        <f t="shared" si="129"/>
        <v>1188.6857536682123</v>
      </c>
      <c r="K22" s="3">
        <f t="shared" si="129"/>
        <v>1218.4028975099175</v>
      </c>
      <c r="L22" s="3">
        <f t="shared" si="129"/>
        <v>1248.8629699476653</v>
      </c>
      <c r="M22" s="3">
        <f t="shared" si="129"/>
        <v>1280.0845441963568</v>
      </c>
      <c r="N22" s="3">
        <f t="shared" si="129"/>
        <v>1312.0866578012656</v>
      </c>
      <c r="O22" s="3">
        <f>N22*(1+$B22)</f>
        <v>1344.8888242462972</v>
      </c>
      <c r="P22" s="3">
        <f t="shared" si="129"/>
        <v>1378.5110448524545</v>
      </c>
      <c r="Q22" s="3">
        <f t="shared" si="129"/>
        <v>1412.9738209737657</v>
      </c>
      <c r="R22" s="3">
        <f t="shared" si="129"/>
        <v>1448.2981664981096</v>
      </c>
      <c r="S22" s="3">
        <f t="shared" si="129"/>
        <v>1484.5056206605623</v>
      </c>
      <c r="T22" s="3">
        <f t="shared" si="75"/>
        <v>1521.6182611770762</v>
      </c>
      <c r="U22" s="3">
        <f t="shared" si="75"/>
        <v>1559.658717706503</v>
      </c>
      <c r="V22" s="3">
        <f t="shared" si="75"/>
        <v>1598.6501856491655</v>
      </c>
      <c r="W22" s="3">
        <f t="shared" si="75"/>
        <v>1638.6164402903944</v>
      </c>
      <c r="X22" s="3">
        <f t="shared" ref="X22:X26" si="130">W22*(1+$B22)</f>
        <v>1679.5818512976541</v>
      </c>
      <c r="Y22" s="3">
        <f t="shared" ref="Y22:Y26" si="131">X22*(1+$B22)</f>
        <v>1721.5713975800952</v>
      </c>
      <c r="Z22" s="3">
        <f t="shared" ref="Z22:Z26" si="132">Y22*(1+$B22)</f>
        <v>1764.6106825195975</v>
      </c>
      <c r="AA22" s="3">
        <f t="shared" ref="AA22:AA26" si="133">Z22*(1+$B22)</f>
        <v>1808.7259495825872</v>
      </c>
      <c r="AB22" s="3">
        <f t="shared" ref="AB22:AB26" si="134">AA22*(1+$B22)</f>
        <v>1853.9440983221516</v>
      </c>
      <c r="AC22" s="3">
        <f t="shared" ref="AC22:AC26" si="135">AB22*(1+$B22)</f>
        <v>1900.2927007802052</v>
      </c>
      <c r="AD22" s="3">
        <f t="shared" ref="AD22:AD26" si="136">AC22*(1+$B22)</f>
        <v>1947.8000182997102</v>
      </c>
      <c r="AE22" s="3">
        <f t="shared" ref="AE22:AE26" si="137">AD22*(1+$B22)</f>
        <v>1996.4950187572028</v>
      </c>
      <c r="AF22" s="3">
        <f t="shared" ref="AF22:AF26" si="138">AE22*(1+$B22)</f>
        <v>2046.4073942261327</v>
      </c>
      <c r="AG22" s="3">
        <f t="shared" ref="AG22:AG26" si="139">AF22*(1+$B22)</f>
        <v>2097.5675790817859</v>
      </c>
      <c r="AH22" s="3">
        <f t="shared" ref="AH22:AH26" si="140">AG22*(1+$B22)</f>
        <v>2150.0067685588301</v>
      </c>
      <c r="AI22" s="3">
        <f t="shared" ref="AI22:AI26" si="141">AH22*(1+$B22)</f>
        <v>2203.7569377728005</v>
      </c>
      <c r="AJ22" s="3">
        <f t="shared" ref="AJ22:AJ26" si="142">AI22*(1+$B22)</f>
        <v>2258.8508612171204</v>
      </c>
      <c r="AK22" s="3">
        <f t="shared" ref="AK22:AK26" si="143">AJ22*(1+$B22)</f>
        <v>2315.322132747548</v>
      </c>
      <c r="AL22" s="3">
        <f t="shared" ref="AL22:AL26" si="144">AK22*(1+$B22)</f>
        <v>2373.2051860662364</v>
      </c>
      <c r="AM22" s="3">
        <f t="shared" ref="AM22:AM26" si="145">AL22*(1+$B22)</f>
        <v>2432.535315717892</v>
      </c>
      <c r="AN22" s="3">
        <f t="shared" ref="AN22:AN26" si="146">AM22*(1+$B22)</f>
        <v>2493.3486986108392</v>
      </c>
      <c r="AO22" s="3">
        <f t="shared" ref="AO22:AO26" si="147">AN22*(1+$B22)</f>
        <v>2555.6824160761098</v>
      </c>
      <c r="AP22" s="3">
        <f t="shared" ref="AP22:AP26" si="148">AO22*(1+$B22)</f>
        <v>2619.5744764780125</v>
      </c>
      <c r="AQ22" s="3">
        <f t="shared" ref="AQ22:AQ26" si="149">AP22*(1+$B22)</f>
        <v>2685.0638383899627</v>
      </c>
      <c r="AR22" s="3">
        <f t="shared" ref="AR22:AR26" si="150">AQ22*(1+$B22)</f>
        <v>2752.1904343497117</v>
      </c>
      <c r="AS22" s="3">
        <f t="shared" ref="AS22:AS26" si="151">AR22*(1+$B22)</f>
        <v>2820.9951952084543</v>
      </c>
      <c r="AT22" s="3">
        <f t="shared" ref="AT22:AT26" si="152">AS22*(1+$B22)</f>
        <v>2891.5200750886656</v>
      </c>
      <c r="AU22" s="3">
        <f t="shared" ref="AU22:AU26" si="153">AT22*(1+$B22)</f>
        <v>2963.8080769658818</v>
      </c>
      <c r="AV22" s="3">
        <f t="shared" ref="AV22:AV26" si="154">AU22*(1+$B22)</f>
        <v>3037.9032788900286</v>
      </c>
      <c r="AW22" s="3">
        <f t="shared" ref="AW22:AW26" si="155">AV22*(1+$B22)</f>
        <v>3113.8508608622792</v>
      </c>
      <c r="AX22" s="3">
        <f t="shared" ref="AX22:AX26" si="156">AW22*(1+$B22)</f>
        <v>3191.6971323838361</v>
      </c>
      <c r="AY22" s="3">
        <f t="shared" ref="AY22:AY26" si="157">AX22*(1+$B22)</f>
        <v>3271.4895606934319</v>
      </c>
      <c r="AZ22" s="3">
        <f t="shared" ref="AZ22:BA26" si="158">AY22*(1+$B22)</f>
        <v>3353.2767997107676</v>
      </c>
      <c r="BA22" s="3">
        <f t="shared" si="158"/>
        <v>3437.1087197035363</v>
      </c>
      <c r="BB22" s="3">
        <f t="shared" ref="BB22:BB26" si="159">BA22*(1+$B22)</f>
        <v>3523.0364376961243</v>
      </c>
      <c r="BC22" s="3">
        <f t="shared" ref="BC22:BC26" si="160">BB22*(1+$B22)</f>
        <v>3611.1123486385272</v>
      </c>
      <c r="BD22" s="3">
        <f t="shared" ref="BD22:BD26" si="161">BC22*(1+$B22)</f>
        <v>3701.3901573544899</v>
      </c>
      <c r="BE22" s="3">
        <f t="shared" ref="BE22:BE26" si="162">BD22*(1+$B22)</f>
        <v>3793.9249112883517</v>
      </c>
      <c r="BF22" s="3">
        <f t="shared" ref="BF22:BF26" si="163">BE22*(1+$B22)</f>
        <v>3888.7730340705602</v>
      </c>
      <c r="BG22" s="3">
        <f t="shared" ref="BG22:BG26" si="164">BF22*(1+$B22)</f>
        <v>3985.9923599223239</v>
      </c>
      <c r="BH22" s="3">
        <f t="shared" ref="BH22:BH26" si="165">BG22*(1+$B22)</f>
        <v>4085.6421689203817</v>
      </c>
      <c r="BI22" s="3">
        <f t="shared" ref="BI22:BI26" si="166">BH22*(1+$B22)</f>
        <v>4187.7832231433913</v>
      </c>
      <c r="BJ22" s="3">
        <f t="shared" ref="BJ22:BJ26" si="167">BI22*(1+$B22)</f>
        <v>4292.4778037219758</v>
      </c>
      <c r="BK22" s="3">
        <f t="shared" ref="BK22:BK26" si="168">BJ22*(1+$B22)</f>
        <v>4399.7897488150247</v>
      </c>
      <c r="BL22" s="3">
        <f t="shared" ref="BL22:BL26" si="169">BK22*(1+$B22)</f>
        <v>4509.7844925354002</v>
      </c>
      <c r="BM22" s="3">
        <f t="shared" ref="BM22:BM26" si="170">BL22*(1+$B22)</f>
        <v>4622.5291048487852</v>
      </c>
      <c r="BN22" s="3">
        <f t="shared" ref="BN22:BN26" si="171">BM22*(1+$B22)</f>
        <v>4738.0923324700043</v>
      </c>
      <c r="BO22" s="3">
        <f t="shared" ref="BO22:BO26" si="172">BN22*(1+$B22)</f>
        <v>4856.5446407817544</v>
      </c>
      <c r="BP22" s="3">
        <f t="shared" ref="BP22:BP26" si="173">BO22*(1+$B22)</f>
        <v>4977.9582568012975</v>
      </c>
      <c r="BQ22" s="3">
        <f t="shared" ref="BQ22:BQ26" si="174">BP22*(1+$B22)</f>
        <v>5102.4072132213296</v>
      </c>
      <c r="BR22" s="3">
        <f t="shared" ref="BR22:BR26" si="175">BQ22*(1+$B22)</f>
        <v>5229.9673935518622</v>
      </c>
      <c r="BS22" s="3">
        <f t="shared" ref="BS22:BS26" si="176">BR22*(1+$B22)</f>
        <v>5360.7165783906585</v>
      </c>
      <c r="BT22" s="3">
        <f t="shared" ref="BT22:BT26" si="177">BS22*(1+$B22)</f>
        <v>5494.7344928504244</v>
      </c>
      <c r="BU22" s="3">
        <f t="shared" ref="BU22:BU26" si="178">BT22*(1+$B22)</f>
        <v>5632.1028551716845</v>
      </c>
      <c r="BV22" s="3">
        <f t="shared" ref="BV22:BV26" si="179">BU22*(1+$B22)</f>
        <v>5772.9054265509758</v>
      </c>
      <c r="BW22" s="3">
        <f t="shared" ref="BW22:BW26" si="180">BV22*(1+$B22)</f>
        <v>5917.22806221475</v>
      </c>
      <c r="BX22" s="3">
        <f t="shared" ref="BX22:BX26" si="181">BW22*(1+$B22)</f>
        <v>6065.1587637701186</v>
      </c>
      <c r="BY22" s="3">
        <f t="shared" ref="BY22:BY26" si="182">BX22*(1+$B22)</f>
        <v>6216.7877328643708</v>
      </c>
    </row>
    <row r="23" spans="1:77" x14ac:dyDescent="0.25">
      <c r="A23" t="s">
        <v>25</v>
      </c>
      <c r="B23" s="47">
        <v>2.5000000000000001E-2</v>
      </c>
      <c r="C23" s="48">
        <v>1100</v>
      </c>
      <c r="D23" s="3">
        <f t="shared" si="74"/>
        <v>1127.5</v>
      </c>
      <c r="E23" s="3">
        <f t="shared" si="75"/>
        <v>1155.6875</v>
      </c>
      <c r="F23" s="3">
        <f t="shared" si="75"/>
        <v>1184.5796874999999</v>
      </c>
      <c r="G23" s="3">
        <f t="shared" si="75"/>
        <v>1214.1941796874999</v>
      </c>
      <c r="H23" s="3">
        <f t="shared" si="75"/>
        <v>1244.5490341796872</v>
      </c>
      <c r="I23" s="3">
        <f t="shared" si="75"/>
        <v>1275.6627600341792</v>
      </c>
      <c r="J23" s="3">
        <f t="shared" si="75"/>
        <v>1307.5543290350336</v>
      </c>
      <c r="K23" s="3">
        <f t="shared" si="75"/>
        <v>1340.2431872609093</v>
      </c>
      <c r="L23" s="3">
        <f t="shared" si="75"/>
        <v>1373.7492669424319</v>
      </c>
      <c r="M23" s="3">
        <f t="shared" si="75"/>
        <v>1408.0929986159924</v>
      </c>
      <c r="N23" s="3">
        <f t="shared" si="75"/>
        <v>1443.295323581392</v>
      </c>
      <c r="O23" s="3">
        <f t="shared" si="75"/>
        <v>1479.3777066709267</v>
      </c>
      <c r="P23" s="3">
        <f t="shared" si="75"/>
        <v>1516.3621493376997</v>
      </c>
      <c r="Q23" s="3">
        <f t="shared" si="75"/>
        <v>1554.2712030711421</v>
      </c>
      <c r="R23" s="3">
        <f t="shared" si="75"/>
        <v>1593.1279831479205</v>
      </c>
      <c r="S23" s="3">
        <f t="shared" si="75"/>
        <v>1632.9561827266184</v>
      </c>
      <c r="T23" s="3">
        <f t="shared" si="75"/>
        <v>1673.7800872947837</v>
      </c>
      <c r="U23" s="3">
        <f t="shared" si="75"/>
        <v>1715.6245894771532</v>
      </c>
      <c r="V23" s="3">
        <f t="shared" si="75"/>
        <v>1758.5152042140819</v>
      </c>
      <c r="W23" s="3">
        <f t="shared" si="75"/>
        <v>1802.4780843194337</v>
      </c>
      <c r="X23" s="3">
        <f t="shared" si="130"/>
        <v>1847.5400364274194</v>
      </c>
      <c r="Y23" s="3">
        <f t="shared" si="131"/>
        <v>1893.7285373381048</v>
      </c>
      <c r="Z23" s="3">
        <f t="shared" si="132"/>
        <v>1941.0717507715574</v>
      </c>
      <c r="AA23" s="3">
        <f t="shared" si="133"/>
        <v>1989.5985445408462</v>
      </c>
      <c r="AB23" s="3">
        <f t="shared" si="134"/>
        <v>2039.3385081543672</v>
      </c>
      <c r="AC23" s="3">
        <f t="shared" si="135"/>
        <v>2090.321970858226</v>
      </c>
      <c r="AD23" s="3">
        <f t="shared" si="136"/>
        <v>2142.5800201296815</v>
      </c>
      <c r="AE23" s="3">
        <f t="shared" si="137"/>
        <v>2196.1445206329236</v>
      </c>
      <c r="AF23" s="3">
        <f t="shared" si="138"/>
        <v>2251.0481336487464</v>
      </c>
      <c r="AG23" s="3">
        <f t="shared" si="139"/>
        <v>2307.3243369899651</v>
      </c>
      <c r="AH23" s="3">
        <f t="shared" si="140"/>
        <v>2365.0074454147139</v>
      </c>
      <c r="AI23" s="3">
        <f t="shared" si="141"/>
        <v>2424.1326315500814</v>
      </c>
      <c r="AJ23" s="3">
        <f t="shared" si="142"/>
        <v>2484.7359473388333</v>
      </c>
      <c r="AK23" s="3">
        <f t="shared" si="143"/>
        <v>2546.8543460223041</v>
      </c>
      <c r="AL23" s="3">
        <f t="shared" si="144"/>
        <v>2610.5257046728616</v>
      </c>
      <c r="AM23" s="3">
        <f t="shared" si="145"/>
        <v>2675.788847289683</v>
      </c>
      <c r="AN23" s="3">
        <f t="shared" si="146"/>
        <v>2742.6835684719249</v>
      </c>
      <c r="AO23" s="3">
        <f t="shared" si="147"/>
        <v>2811.2506576837227</v>
      </c>
      <c r="AP23" s="3">
        <f t="shared" si="148"/>
        <v>2881.5319241258153</v>
      </c>
      <c r="AQ23" s="3">
        <f t="shared" si="149"/>
        <v>2953.5702222289606</v>
      </c>
      <c r="AR23" s="3">
        <f t="shared" si="150"/>
        <v>3027.4094777846844</v>
      </c>
      <c r="AS23" s="3">
        <f t="shared" si="151"/>
        <v>3103.0947147293014</v>
      </c>
      <c r="AT23" s="3">
        <f t="shared" si="152"/>
        <v>3180.6720825975335</v>
      </c>
      <c r="AU23" s="3">
        <f t="shared" si="153"/>
        <v>3260.1888846624715</v>
      </c>
      <c r="AV23" s="3">
        <f t="shared" si="154"/>
        <v>3341.693606779033</v>
      </c>
      <c r="AW23" s="3">
        <f t="shared" si="155"/>
        <v>3425.2359469485086</v>
      </c>
      <c r="AX23" s="3">
        <f t="shared" si="156"/>
        <v>3510.8668456222213</v>
      </c>
      <c r="AY23" s="3">
        <f t="shared" si="157"/>
        <v>3598.6385167627764</v>
      </c>
      <c r="AZ23" s="3">
        <f t="shared" si="158"/>
        <v>3688.6044796818455</v>
      </c>
      <c r="BA23" s="3">
        <f t="shared" si="158"/>
        <v>3780.8195916738914</v>
      </c>
      <c r="BB23" s="3">
        <f t="shared" si="159"/>
        <v>3875.3400814657384</v>
      </c>
      <c r="BC23" s="3">
        <f t="shared" si="160"/>
        <v>3972.2235835023816</v>
      </c>
      <c r="BD23" s="3">
        <f t="shared" si="161"/>
        <v>4071.5291730899407</v>
      </c>
      <c r="BE23" s="3">
        <f t="shared" si="162"/>
        <v>4173.3174024171885</v>
      </c>
      <c r="BF23" s="3">
        <f t="shared" si="163"/>
        <v>4277.6503374776175</v>
      </c>
      <c r="BG23" s="3">
        <f t="shared" si="164"/>
        <v>4384.5915959145577</v>
      </c>
      <c r="BH23" s="3">
        <f t="shared" si="165"/>
        <v>4494.2063858124211</v>
      </c>
      <c r="BI23" s="3">
        <f t="shared" si="166"/>
        <v>4606.561545457731</v>
      </c>
      <c r="BJ23" s="3">
        <f t="shared" si="167"/>
        <v>4721.7255840941734</v>
      </c>
      <c r="BK23" s="3">
        <f t="shared" si="168"/>
        <v>4839.7687236965276</v>
      </c>
      <c r="BL23" s="3">
        <f t="shared" si="169"/>
        <v>4960.7629417889402</v>
      </c>
      <c r="BM23" s="3">
        <f t="shared" si="170"/>
        <v>5084.7820153336634</v>
      </c>
      <c r="BN23" s="3">
        <f t="shared" si="171"/>
        <v>5211.9015657170048</v>
      </c>
      <c r="BO23" s="3">
        <f t="shared" si="172"/>
        <v>5342.1991048599293</v>
      </c>
      <c r="BP23" s="3">
        <f t="shared" si="173"/>
        <v>5475.7540824814268</v>
      </c>
      <c r="BQ23" s="3">
        <f t="shared" si="174"/>
        <v>5612.6479345434618</v>
      </c>
      <c r="BR23" s="3">
        <f t="shared" si="175"/>
        <v>5752.9641329070482</v>
      </c>
      <c r="BS23" s="3">
        <f t="shared" si="176"/>
        <v>5896.7882362297241</v>
      </c>
      <c r="BT23" s="3">
        <f t="shared" si="177"/>
        <v>6044.2079421354665</v>
      </c>
      <c r="BU23" s="3">
        <f t="shared" si="178"/>
        <v>6195.3131406888524</v>
      </c>
      <c r="BV23" s="3">
        <f t="shared" si="179"/>
        <v>6350.1959692060727</v>
      </c>
      <c r="BW23" s="3">
        <f t="shared" si="180"/>
        <v>6508.9508684362236</v>
      </c>
      <c r="BX23" s="3">
        <f t="shared" si="181"/>
        <v>6671.6746401471282</v>
      </c>
      <c r="BY23" s="3">
        <f t="shared" si="182"/>
        <v>6838.4665061508058</v>
      </c>
    </row>
    <row r="24" spans="1:77" x14ac:dyDescent="0.25">
      <c r="A24" t="s">
        <v>26</v>
      </c>
      <c r="B24" s="47">
        <v>2.5000000000000001E-2</v>
      </c>
      <c r="C24" s="48">
        <v>750</v>
      </c>
      <c r="D24" s="3">
        <f t="shared" si="74"/>
        <v>768.74999999999989</v>
      </c>
      <c r="E24" s="3">
        <f t="shared" si="75"/>
        <v>787.96874999999977</v>
      </c>
      <c r="F24" s="3">
        <f t="shared" si="75"/>
        <v>807.66796874999966</v>
      </c>
      <c r="G24" s="3">
        <f t="shared" si="75"/>
        <v>827.85966796874959</v>
      </c>
      <c r="H24" s="3">
        <f t="shared" si="75"/>
        <v>848.55615966796825</v>
      </c>
      <c r="I24" s="3">
        <f t="shared" si="75"/>
        <v>869.77006365966736</v>
      </c>
      <c r="J24" s="3">
        <f t="shared" si="75"/>
        <v>891.51431525115902</v>
      </c>
      <c r="K24" s="3">
        <f t="shared" si="75"/>
        <v>913.80217313243793</v>
      </c>
      <c r="L24" s="3">
        <f t="shared" si="75"/>
        <v>936.64722746074881</v>
      </c>
      <c r="M24" s="3">
        <f t="shared" si="75"/>
        <v>960.06340814726741</v>
      </c>
      <c r="N24" s="3">
        <f t="shared" si="75"/>
        <v>984.06499335094895</v>
      </c>
      <c r="O24" s="3">
        <f t="shared" si="75"/>
        <v>1008.6666181847226</v>
      </c>
      <c r="P24" s="3">
        <f t="shared" si="75"/>
        <v>1033.8832836393406</v>
      </c>
      <c r="Q24" s="3">
        <f t="shared" si="75"/>
        <v>1059.7303657303239</v>
      </c>
      <c r="R24" s="3">
        <f t="shared" si="75"/>
        <v>1086.2236248735819</v>
      </c>
      <c r="S24" s="3">
        <f t="shared" si="75"/>
        <v>1113.3792154954215</v>
      </c>
      <c r="T24" s="3">
        <f t="shared" si="75"/>
        <v>1141.2136958828069</v>
      </c>
      <c r="U24" s="3">
        <f t="shared" si="75"/>
        <v>1169.744038279877</v>
      </c>
      <c r="V24" s="3">
        <f t="shared" si="75"/>
        <v>1198.9876392368737</v>
      </c>
      <c r="W24" s="3">
        <f t="shared" si="75"/>
        <v>1228.9623302177954</v>
      </c>
      <c r="X24" s="3">
        <f t="shared" si="130"/>
        <v>1259.6863884732402</v>
      </c>
      <c r="Y24" s="3">
        <f t="shared" si="131"/>
        <v>1291.1785481850711</v>
      </c>
      <c r="Z24" s="3">
        <f t="shared" si="132"/>
        <v>1323.4580118896977</v>
      </c>
      <c r="AA24" s="3">
        <f t="shared" si="133"/>
        <v>1356.5444621869401</v>
      </c>
      <c r="AB24" s="3">
        <f t="shared" si="134"/>
        <v>1390.4580737416136</v>
      </c>
      <c r="AC24" s="3">
        <f t="shared" si="135"/>
        <v>1425.2195255851539</v>
      </c>
      <c r="AD24" s="3">
        <f t="shared" si="136"/>
        <v>1460.8500137247827</v>
      </c>
      <c r="AE24" s="3">
        <f t="shared" si="137"/>
        <v>1497.3712640679021</v>
      </c>
      <c r="AF24" s="3">
        <f t="shared" si="138"/>
        <v>1534.8055456695995</v>
      </c>
      <c r="AG24" s="3">
        <f t="shared" si="139"/>
        <v>1573.1756843113394</v>
      </c>
      <c r="AH24" s="3">
        <f t="shared" si="140"/>
        <v>1612.5050764191228</v>
      </c>
      <c r="AI24" s="3">
        <f t="shared" si="141"/>
        <v>1652.8177033296008</v>
      </c>
      <c r="AJ24" s="3">
        <f t="shared" si="142"/>
        <v>1694.1381459128406</v>
      </c>
      <c r="AK24" s="3">
        <f t="shared" si="143"/>
        <v>1736.4915995606616</v>
      </c>
      <c r="AL24" s="3">
        <f t="shared" si="144"/>
        <v>1779.9038895496781</v>
      </c>
      <c r="AM24" s="3">
        <f t="shared" si="145"/>
        <v>1824.4014867884198</v>
      </c>
      <c r="AN24" s="3">
        <f t="shared" si="146"/>
        <v>1870.0115239581301</v>
      </c>
      <c r="AO24" s="3">
        <f t="shared" si="147"/>
        <v>1916.761812057083</v>
      </c>
      <c r="AP24" s="3">
        <f t="shared" si="148"/>
        <v>1964.6808573585099</v>
      </c>
      <c r="AQ24" s="3">
        <f t="shared" si="149"/>
        <v>2013.7978787924724</v>
      </c>
      <c r="AR24" s="3">
        <f t="shared" si="150"/>
        <v>2064.1428257622838</v>
      </c>
      <c r="AS24" s="3">
        <f t="shared" si="151"/>
        <v>2115.7463964063409</v>
      </c>
      <c r="AT24" s="3">
        <f t="shared" si="152"/>
        <v>2168.6400563164993</v>
      </c>
      <c r="AU24" s="3">
        <f t="shared" si="153"/>
        <v>2222.8560577244116</v>
      </c>
      <c r="AV24" s="3">
        <f t="shared" si="154"/>
        <v>2278.4274591675216</v>
      </c>
      <c r="AW24" s="3">
        <f t="shared" si="155"/>
        <v>2335.3881456467093</v>
      </c>
      <c r="AX24" s="3">
        <f t="shared" si="156"/>
        <v>2393.7728492878769</v>
      </c>
      <c r="AY24" s="3">
        <f t="shared" si="157"/>
        <v>2453.6171705200736</v>
      </c>
      <c r="AZ24" s="3">
        <f t="shared" si="158"/>
        <v>2514.9575997830752</v>
      </c>
      <c r="BA24" s="3">
        <f t="shared" si="158"/>
        <v>2577.8315397776519</v>
      </c>
      <c r="BB24" s="3">
        <f t="shared" si="159"/>
        <v>2642.2773282720927</v>
      </c>
      <c r="BC24" s="3">
        <f t="shared" si="160"/>
        <v>2708.3342614788949</v>
      </c>
      <c r="BD24" s="3">
        <f t="shared" si="161"/>
        <v>2776.042618015867</v>
      </c>
      <c r="BE24" s="3">
        <f t="shared" si="162"/>
        <v>2845.4436834662633</v>
      </c>
      <c r="BF24" s="3">
        <f t="shared" si="163"/>
        <v>2916.5797755529197</v>
      </c>
      <c r="BG24" s="3">
        <f t="shared" si="164"/>
        <v>2989.4942699417425</v>
      </c>
      <c r="BH24" s="3">
        <f t="shared" si="165"/>
        <v>3064.2316266902858</v>
      </c>
      <c r="BI24" s="3">
        <f t="shared" si="166"/>
        <v>3140.8374173575426</v>
      </c>
      <c r="BJ24" s="3">
        <f t="shared" si="167"/>
        <v>3219.3583527914807</v>
      </c>
      <c r="BK24" s="3">
        <f t="shared" si="168"/>
        <v>3299.8423116112676</v>
      </c>
      <c r="BL24" s="3">
        <f t="shared" si="169"/>
        <v>3382.3383694015492</v>
      </c>
      <c r="BM24" s="3">
        <f t="shared" si="170"/>
        <v>3466.8968286365875</v>
      </c>
      <c r="BN24" s="3">
        <f t="shared" si="171"/>
        <v>3553.5692493525021</v>
      </c>
      <c r="BO24" s="3">
        <f t="shared" si="172"/>
        <v>3642.4084805863145</v>
      </c>
      <c r="BP24" s="3">
        <f t="shared" si="173"/>
        <v>3733.4686926009722</v>
      </c>
      <c r="BQ24" s="3">
        <f t="shared" si="174"/>
        <v>3826.8054099159963</v>
      </c>
      <c r="BR24" s="3">
        <f t="shared" si="175"/>
        <v>3922.4755451638957</v>
      </c>
      <c r="BS24" s="3">
        <f t="shared" si="176"/>
        <v>4020.5374337929929</v>
      </c>
      <c r="BT24" s="3">
        <f t="shared" si="177"/>
        <v>4121.0508696378174</v>
      </c>
      <c r="BU24" s="3">
        <f t="shared" si="178"/>
        <v>4224.0771413787625</v>
      </c>
      <c r="BV24" s="3">
        <f t="shared" si="179"/>
        <v>4329.6790699132307</v>
      </c>
      <c r="BW24" s="3">
        <f t="shared" si="180"/>
        <v>4437.9210466610612</v>
      </c>
      <c r="BX24" s="3">
        <f t="shared" si="181"/>
        <v>4548.8690728275869</v>
      </c>
      <c r="BY24" s="3">
        <f t="shared" si="182"/>
        <v>4662.5907996482765</v>
      </c>
    </row>
    <row r="25" spans="1:77" x14ac:dyDescent="0.25">
      <c r="A25" t="s">
        <v>27</v>
      </c>
      <c r="B25" s="47">
        <v>2.5000000000000001E-2</v>
      </c>
      <c r="C25" s="48">
        <v>1000</v>
      </c>
      <c r="D25" s="3">
        <f t="shared" si="74"/>
        <v>1025</v>
      </c>
      <c r="E25" s="3">
        <f t="shared" ref="E25:W25" si="183">D25*(1+$B25)</f>
        <v>1050.625</v>
      </c>
      <c r="F25" s="3">
        <f t="shared" si="183"/>
        <v>1076.890625</v>
      </c>
      <c r="G25" s="3">
        <f t="shared" si="183"/>
        <v>1103.8128906249999</v>
      </c>
      <c r="H25" s="3">
        <f t="shared" si="183"/>
        <v>1131.4082128906248</v>
      </c>
      <c r="I25" s="3">
        <f t="shared" si="183"/>
        <v>1159.6934182128903</v>
      </c>
      <c r="J25" s="3">
        <f t="shared" si="183"/>
        <v>1188.6857536682123</v>
      </c>
      <c r="K25" s="3">
        <f t="shared" si="183"/>
        <v>1218.4028975099175</v>
      </c>
      <c r="L25" s="3">
        <f t="shared" si="183"/>
        <v>1248.8629699476653</v>
      </c>
      <c r="M25" s="3">
        <f t="shared" si="183"/>
        <v>1280.0845441963568</v>
      </c>
      <c r="N25" s="3">
        <f t="shared" si="183"/>
        <v>1312.0866578012656</v>
      </c>
      <c r="O25" s="3">
        <f t="shared" si="183"/>
        <v>1344.8888242462972</v>
      </c>
      <c r="P25" s="3">
        <f t="shared" si="183"/>
        <v>1378.5110448524545</v>
      </c>
      <c r="Q25" s="3">
        <f t="shared" si="183"/>
        <v>1412.9738209737657</v>
      </c>
      <c r="R25" s="3">
        <f t="shared" si="183"/>
        <v>1448.2981664981096</v>
      </c>
      <c r="S25" s="3">
        <f t="shared" si="183"/>
        <v>1484.5056206605623</v>
      </c>
      <c r="T25" s="3">
        <f t="shared" si="183"/>
        <v>1521.6182611770762</v>
      </c>
      <c r="U25" s="3">
        <f t="shared" si="183"/>
        <v>1559.658717706503</v>
      </c>
      <c r="V25" s="3">
        <f t="shared" si="183"/>
        <v>1598.6501856491655</v>
      </c>
      <c r="W25" s="3">
        <f t="shared" si="183"/>
        <v>1638.6164402903944</v>
      </c>
      <c r="X25" s="3">
        <f t="shared" si="130"/>
        <v>1679.5818512976541</v>
      </c>
      <c r="Y25" s="3">
        <f t="shared" si="131"/>
        <v>1721.5713975800952</v>
      </c>
      <c r="Z25" s="3">
        <f t="shared" si="132"/>
        <v>1764.6106825195975</v>
      </c>
      <c r="AA25" s="3">
        <f t="shared" si="133"/>
        <v>1808.7259495825872</v>
      </c>
      <c r="AB25" s="3">
        <f t="shared" si="134"/>
        <v>1853.9440983221516</v>
      </c>
      <c r="AC25" s="3">
        <f t="shared" si="135"/>
        <v>1900.2927007802052</v>
      </c>
      <c r="AD25" s="3">
        <f t="shared" si="136"/>
        <v>1947.8000182997102</v>
      </c>
      <c r="AE25" s="3">
        <f t="shared" si="137"/>
        <v>1996.4950187572028</v>
      </c>
      <c r="AF25" s="3">
        <f t="shared" si="138"/>
        <v>2046.4073942261327</v>
      </c>
      <c r="AG25" s="3">
        <f t="shared" si="139"/>
        <v>2097.5675790817859</v>
      </c>
      <c r="AH25" s="3">
        <f t="shared" si="140"/>
        <v>2150.0067685588301</v>
      </c>
      <c r="AI25" s="3">
        <f t="shared" si="141"/>
        <v>2203.7569377728005</v>
      </c>
      <c r="AJ25" s="3">
        <f t="shared" si="142"/>
        <v>2258.8508612171204</v>
      </c>
      <c r="AK25" s="3">
        <f t="shared" si="143"/>
        <v>2315.322132747548</v>
      </c>
      <c r="AL25" s="3">
        <f t="shared" si="144"/>
        <v>2373.2051860662364</v>
      </c>
      <c r="AM25" s="3">
        <f t="shared" si="145"/>
        <v>2432.535315717892</v>
      </c>
      <c r="AN25" s="3">
        <f t="shared" si="146"/>
        <v>2493.3486986108392</v>
      </c>
      <c r="AO25" s="3">
        <f t="shared" si="147"/>
        <v>2555.6824160761098</v>
      </c>
      <c r="AP25" s="3">
        <f t="shared" si="148"/>
        <v>2619.5744764780125</v>
      </c>
      <c r="AQ25" s="3">
        <f t="shared" si="149"/>
        <v>2685.0638383899627</v>
      </c>
      <c r="AR25" s="3">
        <f t="shared" si="150"/>
        <v>2752.1904343497117</v>
      </c>
      <c r="AS25" s="3">
        <f t="shared" si="151"/>
        <v>2820.9951952084543</v>
      </c>
      <c r="AT25" s="3">
        <f t="shared" si="152"/>
        <v>2891.5200750886656</v>
      </c>
      <c r="AU25" s="3">
        <f t="shared" si="153"/>
        <v>2963.8080769658818</v>
      </c>
      <c r="AV25" s="3">
        <f t="shared" si="154"/>
        <v>3037.9032788900286</v>
      </c>
      <c r="AW25" s="3">
        <f t="shared" si="155"/>
        <v>3113.8508608622792</v>
      </c>
      <c r="AX25" s="3">
        <f t="shared" si="156"/>
        <v>3191.6971323838361</v>
      </c>
      <c r="AY25" s="3">
        <f t="shared" si="157"/>
        <v>3271.4895606934319</v>
      </c>
      <c r="AZ25" s="3">
        <f t="shared" si="158"/>
        <v>3353.2767997107676</v>
      </c>
      <c r="BA25" s="3">
        <f t="shared" si="158"/>
        <v>3437.1087197035363</v>
      </c>
      <c r="BB25" s="3">
        <f t="shared" si="159"/>
        <v>3523.0364376961243</v>
      </c>
      <c r="BC25" s="3">
        <f t="shared" si="160"/>
        <v>3611.1123486385272</v>
      </c>
      <c r="BD25" s="3">
        <f t="shared" si="161"/>
        <v>3701.3901573544899</v>
      </c>
      <c r="BE25" s="3">
        <f t="shared" si="162"/>
        <v>3793.9249112883517</v>
      </c>
      <c r="BF25" s="3">
        <f t="shared" si="163"/>
        <v>3888.7730340705602</v>
      </c>
      <c r="BG25" s="3">
        <f t="shared" si="164"/>
        <v>3985.9923599223239</v>
      </c>
      <c r="BH25" s="3">
        <f t="shared" si="165"/>
        <v>4085.6421689203817</v>
      </c>
      <c r="BI25" s="3">
        <f t="shared" si="166"/>
        <v>4187.7832231433913</v>
      </c>
      <c r="BJ25" s="3">
        <f t="shared" si="167"/>
        <v>4292.4778037219758</v>
      </c>
      <c r="BK25" s="3">
        <f t="shared" si="168"/>
        <v>4399.7897488150247</v>
      </c>
      <c r="BL25" s="3">
        <f t="shared" si="169"/>
        <v>4509.7844925354002</v>
      </c>
      <c r="BM25" s="3">
        <f t="shared" si="170"/>
        <v>4622.5291048487852</v>
      </c>
      <c r="BN25" s="3">
        <f t="shared" si="171"/>
        <v>4738.0923324700043</v>
      </c>
      <c r="BO25" s="3">
        <f t="shared" si="172"/>
        <v>4856.5446407817544</v>
      </c>
      <c r="BP25" s="3">
        <f t="shared" si="173"/>
        <v>4977.9582568012975</v>
      </c>
      <c r="BQ25" s="3">
        <f t="shared" si="174"/>
        <v>5102.4072132213296</v>
      </c>
      <c r="BR25" s="3">
        <f t="shared" si="175"/>
        <v>5229.9673935518622</v>
      </c>
      <c r="BS25" s="3">
        <f t="shared" si="176"/>
        <v>5360.7165783906585</v>
      </c>
      <c r="BT25" s="3">
        <f t="shared" si="177"/>
        <v>5494.7344928504244</v>
      </c>
      <c r="BU25" s="3">
        <f t="shared" si="178"/>
        <v>5632.1028551716845</v>
      </c>
      <c r="BV25" s="3">
        <f t="shared" si="179"/>
        <v>5772.9054265509758</v>
      </c>
      <c r="BW25" s="3">
        <f t="shared" si="180"/>
        <v>5917.22806221475</v>
      </c>
      <c r="BX25" s="3">
        <f t="shared" si="181"/>
        <v>6065.1587637701186</v>
      </c>
      <c r="BY25" s="3">
        <f t="shared" si="182"/>
        <v>6216.7877328643708</v>
      </c>
    </row>
    <row r="26" spans="1:77" x14ac:dyDescent="0.25">
      <c r="A26" t="s">
        <v>33</v>
      </c>
      <c r="B26" s="47">
        <v>2.5000000000000001E-2</v>
      </c>
      <c r="C26" s="48">
        <v>1500</v>
      </c>
      <c r="D26" s="3">
        <f t="shared" si="74"/>
        <v>1537.4999999999998</v>
      </c>
      <c r="E26" s="3">
        <f t="shared" si="75"/>
        <v>1575.9374999999995</v>
      </c>
      <c r="F26" s="3">
        <f t="shared" si="75"/>
        <v>1615.3359374999993</v>
      </c>
      <c r="G26" s="3">
        <f t="shared" si="75"/>
        <v>1655.7193359374992</v>
      </c>
      <c r="H26" s="3">
        <f t="shared" si="75"/>
        <v>1697.1123193359365</v>
      </c>
      <c r="I26" s="3">
        <f t="shared" si="75"/>
        <v>1739.5401273193347</v>
      </c>
      <c r="J26" s="3">
        <f t="shared" si="75"/>
        <v>1783.028630502318</v>
      </c>
      <c r="K26" s="3">
        <f t="shared" si="75"/>
        <v>1827.6043462648759</v>
      </c>
      <c r="L26" s="3">
        <f t="shared" si="75"/>
        <v>1873.2944549214976</v>
      </c>
      <c r="M26" s="3">
        <f t="shared" si="75"/>
        <v>1920.1268162945348</v>
      </c>
      <c r="N26" s="3">
        <f t="shared" si="75"/>
        <v>1968.1299867018979</v>
      </c>
      <c r="O26" s="3">
        <f t="shared" si="75"/>
        <v>2017.3332363694451</v>
      </c>
      <c r="P26" s="3">
        <f t="shared" si="75"/>
        <v>2067.7665672786811</v>
      </c>
      <c r="Q26" s="3">
        <f t="shared" si="75"/>
        <v>2119.4607314606478</v>
      </c>
      <c r="R26" s="3">
        <f t="shared" si="75"/>
        <v>2172.4472497471638</v>
      </c>
      <c r="S26" s="3">
        <f t="shared" si="75"/>
        <v>2226.758430990843</v>
      </c>
      <c r="T26" s="3">
        <f t="shared" si="75"/>
        <v>2282.4273917656137</v>
      </c>
      <c r="U26" s="3">
        <f t="shared" si="75"/>
        <v>2339.4880765597541</v>
      </c>
      <c r="V26" s="3">
        <f t="shared" si="75"/>
        <v>2397.9752784737475</v>
      </c>
      <c r="W26" s="3">
        <f t="shared" si="75"/>
        <v>2457.9246604355908</v>
      </c>
      <c r="X26" s="3">
        <f t="shared" si="130"/>
        <v>2519.3727769464804</v>
      </c>
      <c r="Y26" s="3">
        <f t="shared" si="131"/>
        <v>2582.3570963701422</v>
      </c>
      <c r="Z26" s="3">
        <f t="shared" si="132"/>
        <v>2646.9160237793953</v>
      </c>
      <c r="AA26" s="3">
        <f t="shared" si="133"/>
        <v>2713.0889243738802</v>
      </c>
      <c r="AB26" s="3">
        <f t="shared" si="134"/>
        <v>2780.9161474832272</v>
      </c>
      <c r="AC26" s="3">
        <f t="shared" si="135"/>
        <v>2850.4390511703077</v>
      </c>
      <c r="AD26" s="3">
        <f t="shared" si="136"/>
        <v>2921.7000274495654</v>
      </c>
      <c r="AE26" s="3">
        <f t="shared" si="137"/>
        <v>2994.7425281358042</v>
      </c>
      <c r="AF26" s="3">
        <f t="shared" si="138"/>
        <v>3069.611091339199</v>
      </c>
      <c r="AG26" s="3">
        <f t="shared" si="139"/>
        <v>3146.3513686226788</v>
      </c>
      <c r="AH26" s="3">
        <f t="shared" si="140"/>
        <v>3225.0101528382456</v>
      </c>
      <c r="AI26" s="3">
        <f t="shared" si="141"/>
        <v>3305.6354066592016</v>
      </c>
      <c r="AJ26" s="3">
        <f t="shared" si="142"/>
        <v>3388.2762918256813</v>
      </c>
      <c r="AK26" s="3">
        <f t="shared" si="143"/>
        <v>3472.9831991213232</v>
      </c>
      <c r="AL26" s="3">
        <f t="shared" si="144"/>
        <v>3559.8077790993561</v>
      </c>
      <c r="AM26" s="3">
        <f t="shared" si="145"/>
        <v>3648.8029735768396</v>
      </c>
      <c r="AN26" s="3">
        <f t="shared" si="146"/>
        <v>3740.0230479162601</v>
      </c>
      <c r="AO26" s="3">
        <f t="shared" si="147"/>
        <v>3833.5236241141661</v>
      </c>
      <c r="AP26" s="3">
        <f t="shared" si="148"/>
        <v>3929.3617147170198</v>
      </c>
      <c r="AQ26" s="3">
        <f t="shared" si="149"/>
        <v>4027.5957575849447</v>
      </c>
      <c r="AR26" s="3">
        <f t="shared" si="150"/>
        <v>4128.2856515245676</v>
      </c>
      <c r="AS26" s="3">
        <f t="shared" si="151"/>
        <v>4231.4927928126817</v>
      </c>
      <c r="AT26" s="3">
        <f t="shared" si="152"/>
        <v>4337.2801126329987</v>
      </c>
      <c r="AU26" s="3">
        <f t="shared" si="153"/>
        <v>4445.7121154488232</v>
      </c>
      <c r="AV26" s="3">
        <f t="shared" si="154"/>
        <v>4556.8549183350433</v>
      </c>
      <c r="AW26" s="3">
        <f t="shared" si="155"/>
        <v>4670.7762912934186</v>
      </c>
      <c r="AX26" s="3">
        <f t="shared" si="156"/>
        <v>4787.5456985757537</v>
      </c>
      <c r="AY26" s="3">
        <f t="shared" si="157"/>
        <v>4907.2343410401472</v>
      </c>
      <c r="AZ26" s="3">
        <f t="shared" si="158"/>
        <v>5029.9151995661505</v>
      </c>
      <c r="BA26" s="3">
        <f t="shared" si="158"/>
        <v>5155.6630795553037</v>
      </c>
      <c r="BB26" s="3">
        <f t="shared" si="159"/>
        <v>5284.5546565441855</v>
      </c>
      <c r="BC26" s="3">
        <f t="shared" si="160"/>
        <v>5416.6685229577897</v>
      </c>
      <c r="BD26" s="3">
        <f t="shared" si="161"/>
        <v>5552.085236031734</v>
      </c>
      <c r="BE26" s="3">
        <f t="shared" si="162"/>
        <v>5690.8873669325267</v>
      </c>
      <c r="BF26" s="3">
        <f t="shared" si="163"/>
        <v>5833.1595511058395</v>
      </c>
      <c r="BG26" s="3">
        <f t="shared" si="164"/>
        <v>5978.9885398834849</v>
      </c>
      <c r="BH26" s="3">
        <f t="shared" si="165"/>
        <v>6128.4632533805716</v>
      </c>
      <c r="BI26" s="3">
        <f t="shared" si="166"/>
        <v>6281.6748347150851</v>
      </c>
      <c r="BJ26" s="3">
        <f t="shared" si="167"/>
        <v>6438.7167055829614</v>
      </c>
      <c r="BK26" s="3">
        <f t="shared" si="168"/>
        <v>6599.6846232225353</v>
      </c>
      <c r="BL26" s="3">
        <f t="shared" si="169"/>
        <v>6764.6767388030985</v>
      </c>
      <c r="BM26" s="3">
        <f t="shared" si="170"/>
        <v>6933.7936572731751</v>
      </c>
      <c r="BN26" s="3">
        <f t="shared" si="171"/>
        <v>7107.1384987050042</v>
      </c>
      <c r="BO26" s="3">
        <f t="shared" si="172"/>
        <v>7284.8169611726289</v>
      </c>
      <c r="BP26" s="3">
        <f t="shared" si="173"/>
        <v>7466.9373852019444</v>
      </c>
      <c r="BQ26" s="3">
        <f t="shared" si="174"/>
        <v>7653.6108198319926</v>
      </c>
      <c r="BR26" s="3">
        <f t="shared" si="175"/>
        <v>7844.9510903277915</v>
      </c>
      <c r="BS26" s="3">
        <f t="shared" si="176"/>
        <v>8041.0748675859859</v>
      </c>
      <c r="BT26" s="3">
        <f t="shared" si="177"/>
        <v>8242.1017392756348</v>
      </c>
      <c r="BU26" s="3">
        <f t="shared" si="178"/>
        <v>8448.1542827575249</v>
      </c>
      <c r="BV26" s="3">
        <f t="shared" si="179"/>
        <v>8659.3581398264614</v>
      </c>
      <c r="BW26" s="3">
        <f t="shared" si="180"/>
        <v>8875.8420933221223</v>
      </c>
      <c r="BX26" s="3">
        <f t="shared" si="181"/>
        <v>9097.7381456551739</v>
      </c>
      <c r="BY26" s="3">
        <f t="shared" si="182"/>
        <v>9325.181599296553</v>
      </c>
    </row>
    <row r="27" spans="1:77" x14ac:dyDescent="0.25">
      <c r="A27" s="6" t="s">
        <v>245</v>
      </c>
      <c r="B27" s="49">
        <v>250</v>
      </c>
      <c r="C27" s="25">
        <f>$B$27*(C9+C10)</f>
        <v>500</v>
      </c>
      <c r="D27" s="25">
        <f t="shared" ref="D27:W27" si="184">($B$27*(1+$B$26)^D2)*(D9+D10)</f>
        <v>262.65625</v>
      </c>
      <c r="E27" s="25">
        <f t="shared" si="184"/>
        <v>538.44531249999989</v>
      </c>
      <c r="F27" s="25">
        <f t="shared" si="184"/>
        <v>275.95322265624992</v>
      </c>
      <c r="G27" s="25">
        <f t="shared" si="184"/>
        <v>565.70410644531228</v>
      </c>
      <c r="H27" s="25">
        <f t="shared" si="184"/>
        <v>579.84670910644513</v>
      </c>
      <c r="I27" s="25">
        <f t="shared" si="184"/>
        <v>891.51431525115936</v>
      </c>
      <c r="J27" s="25">
        <f t="shared" si="184"/>
        <v>304.60072437747942</v>
      </c>
      <c r="K27" s="25">
        <f t="shared" si="184"/>
        <v>936.64722746074915</v>
      </c>
      <c r="L27" s="25">
        <f t="shared" si="184"/>
        <v>640.0422720981785</v>
      </c>
      <c r="M27" s="25">
        <f t="shared" si="184"/>
        <v>656.04332890063301</v>
      </c>
      <c r="N27" s="25">
        <f t="shared" si="184"/>
        <v>336.22220606157435</v>
      </c>
      <c r="O27" s="25">
        <f t="shared" si="184"/>
        <v>1033.8832836393412</v>
      </c>
      <c r="P27" s="25">
        <f t="shared" si="184"/>
        <v>1059.7303657303246</v>
      </c>
      <c r="Q27" s="25">
        <f t="shared" si="184"/>
        <v>1086.2236248735828</v>
      </c>
      <c r="R27" s="25">
        <f t="shared" si="184"/>
        <v>1113.3792154954224</v>
      </c>
      <c r="S27" s="25">
        <f t="shared" si="184"/>
        <v>1141.2136958828078</v>
      </c>
      <c r="T27" s="25">
        <f t="shared" si="184"/>
        <v>779.82935885325196</v>
      </c>
      <c r="U27" s="25">
        <f t="shared" si="184"/>
        <v>1198.9876392368749</v>
      </c>
      <c r="V27" s="25">
        <f t="shared" si="184"/>
        <v>819.30822014519777</v>
      </c>
      <c r="W27" s="25">
        <f t="shared" si="184"/>
        <v>839.79092564882762</v>
      </c>
      <c r="X27" s="25">
        <f t="shared" ref="X27:AJ27" si="185">($B$27*(1+$B$26)^X2)*(X9+X10)</f>
        <v>860.78569879004829</v>
      </c>
      <c r="Y27" s="25">
        <f t="shared" si="185"/>
        <v>882.30534125979955</v>
      </c>
      <c r="Z27" s="25">
        <f t="shared" si="185"/>
        <v>904.3629747912945</v>
      </c>
      <c r="AA27" s="25">
        <f t="shared" si="185"/>
        <v>1853.9440983221534</v>
      </c>
      <c r="AB27" s="25">
        <f t="shared" si="185"/>
        <v>950.14635039010352</v>
      </c>
      <c r="AC27" s="25">
        <f t="shared" si="185"/>
        <v>973.90000914985603</v>
      </c>
      <c r="AD27" s="25">
        <f t="shared" si="185"/>
        <v>998.24750937860244</v>
      </c>
      <c r="AE27" s="25">
        <f t="shared" si="185"/>
        <v>2046.4073942261352</v>
      </c>
      <c r="AF27" s="25">
        <f t="shared" si="185"/>
        <v>1048.7837895408941</v>
      </c>
      <c r="AG27" s="25">
        <f t="shared" si="185"/>
        <v>1075.0033842794167</v>
      </c>
      <c r="AH27" s="25">
        <f t="shared" si="185"/>
        <v>1101.8784688864018</v>
      </c>
      <c r="AI27" s="25">
        <f t="shared" si="185"/>
        <v>1129.4254306085618</v>
      </c>
      <c r="AJ27" s="25">
        <f t="shared" si="185"/>
        <v>1157.6610663737758</v>
      </c>
      <c r="AK27" s="25">
        <f t="shared" ref="AK27:AZ27" si="186">($B$27*(1+$B$26)^AK2)*(AK9+AK10)</f>
        <v>1186.60259303312</v>
      </c>
      <c r="AL27" s="25">
        <f t="shared" si="186"/>
        <v>1216.2676578589483</v>
      </c>
      <c r="AM27" s="25">
        <f t="shared" si="186"/>
        <v>1870.0115239581328</v>
      </c>
      <c r="AN27" s="25">
        <f t="shared" si="186"/>
        <v>1916.7618120570855</v>
      </c>
      <c r="AO27" s="25">
        <f t="shared" si="186"/>
        <v>1309.7872382390085</v>
      </c>
      <c r="AP27" s="25">
        <f t="shared" si="186"/>
        <v>2013.7978787924753</v>
      </c>
      <c r="AQ27" s="25">
        <f t="shared" si="186"/>
        <v>2064.1428257622874</v>
      </c>
      <c r="AR27" s="25">
        <f t="shared" si="186"/>
        <v>2115.746396406344</v>
      </c>
      <c r="AS27" s="25">
        <f t="shared" si="186"/>
        <v>2168.640056316503</v>
      </c>
      <c r="AT27" s="25">
        <f t="shared" si="186"/>
        <v>1481.9040384829434</v>
      </c>
      <c r="AU27" s="25">
        <f t="shared" si="186"/>
        <v>1518.951639445017</v>
      </c>
      <c r="AV27" s="25">
        <f t="shared" si="186"/>
        <v>3113.8508608622842</v>
      </c>
      <c r="AW27" s="25">
        <f t="shared" si="186"/>
        <v>1595.848566191921</v>
      </c>
      <c r="AX27" s="25">
        <f t="shared" si="186"/>
        <v>1635.7447803467189</v>
      </c>
      <c r="AY27" s="25">
        <f t="shared" si="186"/>
        <v>1676.6383998553868</v>
      </c>
      <c r="AZ27" s="25">
        <f t="shared" si="186"/>
        <v>1718.5543598517713</v>
      </c>
      <c r="BA27" s="25">
        <f t="shared" ref="BA27:BY27" si="187">($B$27*(1+$B$26)^BA2)*(BA9+BA10)</f>
        <v>1761.5182188480658</v>
      </c>
      <c r="BB27" s="25">
        <f t="shared" si="187"/>
        <v>1805.5561743192673</v>
      </c>
      <c r="BC27" s="25">
        <f t="shared" si="187"/>
        <v>1850.6950786772486</v>
      </c>
      <c r="BD27" s="25">
        <f t="shared" si="187"/>
        <v>1896.9624556441797</v>
      </c>
      <c r="BE27" s="25">
        <f t="shared" si="187"/>
        <v>1944.3865170352842</v>
      </c>
      <c r="BF27" s="25">
        <f t="shared" si="187"/>
        <v>1992.9961799611665</v>
      </c>
      <c r="BG27" s="25">
        <f t="shared" si="187"/>
        <v>2042.8210844601954</v>
      </c>
      <c r="BH27" s="25">
        <f t="shared" si="187"/>
        <v>2093.8916115717002</v>
      </c>
      <c r="BI27" s="25">
        <f t="shared" si="187"/>
        <v>2146.2389018609924</v>
      </c>
      <c r="BJ27" s="25">
        <f t="shared" si="187"/>
        <v>2199.8948744075169</v>
      </c>
      <c r="BK27" s="25">
        <f t="shared" si="187"/>
        <v>2254.8922462677051</v>
      </c>
      <c r="BL27" s="25">
        <f t="shared" si="187"/>
        <v>2311.2645524243972</v>
      </c>
      <c r="BM27" s="25">
        <f t="shared" si="187"/>
        <v>2369.0461662350081</v>
      </c>
      <c r="BN27" s="25">
        <f t="shared" si="187"/>
        <v>2428.2723203908827</v>
      </c>
      <c r="BO27" s="25">
        <f t="shared" si="187"/>
        <v>2488.9791284006542</v>
      </c>
      <c r="BP27" s="25">
        <f t="shared" si="187"/>
        <v>2551.2036066106707</v>
      </c>
      <c r="BQ27" s="25">
        <f t="shared" si="187"/>
        <v>2614.9836967759375</v>
      </c>
      <c r="BR27" s="25">
        <f t="shared" si="187"/>
        <v>2680.3582891953356</v>
      </c>
      <c r="BS27" s="25">
        <f t="shared" si="187"/>
        <v>2747.3672464252186</v>
      </c>
      <c r="BT27" s="25">
        <f t="shared" si="187"/>
        <v>2816.0514275858486</v>
      </c>
      <c r="BU27" s="25">
        <f t="shared" si="187"/>
        <v>2886.4527132754952</v>
      </c>
      <c r="BV27" s="25">
        <f t="shared" si="187"/>
        <v>2958.6140311073823</v>
      </c>
      <c r="BW27" s="25">
        <f t="shared" si="187"/>
        <v>3032.5793818850666</v>
      </c>
      <c r="BX27" s="25">
        <f t="shared" si="187"/>
        <v>3108.3938664321931</v>
      </c>
      <c r="BY27" s="25">
        <f t="shared" si="187"/>
        <v>3186.1037130929981</v>
      </c>
    </row>
    <row r="28" spans="1:77" x14ac:dyDescent="0.25">
      <c r="A28" s="4" t="s">
        <v>23</v>
      </c>
      <c r="B28" s="26"/>
      <c r="C28" s="5">
        <f t="shared" ref="C28:W28" si="188">SUM(C20:C27)</f>
        <v>18090</v>
      </c>
      <c r="D28" s="5">
        <f t="shared" si="188"/>
        <v>13126.40625</v>
      </c>
      <c r="E28" s="5">
        <f t="shared" si="188"/>
        <v>13723.789062499998</v>
      </c>
      <c r="F28" s="5">
        <f t="shared" si="188"/>
        <v>13790.930566406247</v>
      </c>
      <c r="G28" s="5">
        <f>SUM(G20:G27)</f>
        <v>19981.772852539052</v>
      </c>
      <c r="H28" s="5">
        <f t="shared" si="188"/>
        <v>14779.019780883784</v>
      </c>
      <c r="I28" s="5">
        <f t="shared" si="188"/>
        <v>15445.66671382293</v>
      </c>
      <c r="J28" s="5">
        <f t="shared" si="188"/>
        <v>15222.606932913546</v>
      </c>
      <c r="K28" s="5">
        <f t="shared" si="188"/>
        <v>16227.603591210212</v>
      </c>
      <c r="L28" s="5">
        <f t="shared" si="188"/>
        <v>22607.541913477613</v>
      </c>
      <c r="M28" s="5">
        <f t="shared" si="188"/>
        <v>16721.104358564913</v>
      </c>
      <c r="N28" s="5">
        <f t="shared" si="188"/>
        <v>16802.909761467457</v>
      </c>
      <c r="O28" s="5">
        <f t="shared" si="188"/>
        <v>17912.238027930372</v>
      </c>
      <c r="P28" s="5">
        <f t="shared" si="188"/>
        <v>18360.043978628626</v>
      </c>
      <c r="Q28" s="5">
        <f t="shared" si="188"/>
        <v>25940.433135802123</v>
      </c>
      <c r="R28" s="5">
        <f t="shared" si="188"/>
        <v>19289.521205046698</v>
      </c>
      <c r="S28" s="5">
        <f t="shared" si="188"/>
        <v>19771.759235172864</v>
      </c>
      <c r="T28" s="5">
        <f t="shared" si="188"/>
        <v>19876.138536625556</v>
      </c>
      <c r="U28" s="5">
        <f t="shared" si="188"/>
        <v>20772.704546453489</v>
      </c>
      <c r="V28" s="5">
        <f t="shared" si="188"/>
        <v>28939.564985714023</v>
      </c>
      <c r="W28" s="5">
        <f t="shared" si="188"/>
        <v>21404.427251293277</v>
      </c>
      <c r="X28" s="5">
        <f t="shared" ref="X28:AJ28" si="189">SUM(X20:X27)</f>
        <v>21939.537932575611</v>
      </c>
      <c r="Y28" s="5">
        <f t="shared" si="189"/>
        <v>22488.026380889991</v>
      </c>
      <c r="Z28" s="5">
        <f t="shared" si="189"/>
        <v>23050.227040412239</v>
      </c>
      <c r="AA28" s="5">
        <f t="shared" si="189"/>
        <v>33669.433551479859</v>
      </c>
      <c r="AB28" s="5">
        <f t="shared" si="189"/>
        <v>24217.144784333104</v>
      </c>
      <c r="AC28" s="5">
        <f t="shared" si="189"/>
        <v>24822.573403941435</v>
      </c>
      <c r="AD28" s="5">
        <f t="shared" si="189"/>
        <v>25443.137739039965</v>
      </c>
      <c r="AE28" s="5">
        <f t="shared" si="189"/>
        <v>27102.419879629033</v>
      </c>
      <c r="AF28" s="5">
        <f t="shared" si="189"/>
        <v>37045.08985397857</v>
      </c>
      <c r="AG28" s="5">
        <f t="shared" si="189"/>
        <v>27399.476501755835</v>
      </c>
      <c r="AH28" s="5">
        <f t="shared" si="189"/>
        <v>28084.463414299724</v>
      </c>
      <c r="AI28" s="5">
        <f t="shared" si="189"/>
        <v>28786.574999657216</v>
      </c>
      <c r="AJ28" s="5">
        <f t="shared" si="189"/>
        <v>29506.239374648641</v>
      </c>
      <c r="AK28" s="5">
        <f t="shared" ref="AK28" si="190">SUM(AK20:AK27)</f>
        <v>41913.118908062504</v>
      </c>
      <c r="AL28" s="5">
        <f t="shared" ref="AL28" si="191">SUM(AL20:AL27)</f>
        <v>30999.992742990227</v>
      </c>
      <c r="AM28" s="5">
        <f t="shared" ref="AM28" si="192">SUM(AM20:AM27)</f>
        <v>32398.329736217689</v>
      </c>
      <c r="AN28" s="5">
        <f t="shared" ref="AN28" si="193">SUM(AN20:AN27)</f>
        <v>33208.287979623135</v>
      </c>
      <c r="AO28" s="5">
        <f t="shared" ref="AO28" si="194">SUM(AO20:AO27)</f>
        <v>33383.601559994204</v>
      </c>
      <c r="AP28" s="5">
        <f t="shared" ref="AP28" si="195">SUM(AP20:AP27)</f>
        <v>48092.112920040738</v>
      </c>
      <c r="AQ28" s="5">
        <f t="shared" ref="AQ28" si="196">SUM(AQ20:AQ27)</f>
        <v>35761.693997556344</v>
      </c>
      <c r="AR28" s="5">
        <f t="shared" ref="AR28" si="197">SUM(AR20:AR27)</f>
        <v>36655.736347495236</v>
      </c>
      <c r="AS28" s="5">
        <f t="shared" ref="AS28" si="198">SUM(AS20:AS27)</f>
        <v>37572.129756182621</v>
      </c>
      <c r="AT28" s="5">
        <f t="shared" ref="AT28" si="199">SUM(AT20:AT27)</f>
        <v>37770.480980845714</v>
      </c>
      <c r="AU28" s="5">
        <f t="shared" ref="AU28" si="200">SUM(AU20:AU27)</f>
        <v>53652.335713274908</v>
      </c>
      <c r="AV28" s="5">
        <f t="shared" ref="AV28" si="201">SUM(AV20:AV27)</f>
        <v>41239.537010932159</v>
      </c>
      <c r="AW28" s="5">
        <f t="shared" ref="AW28" si="202">SUM(AW20:AW27)</f>
        <v>40674.676870013536</v>
      </c>
      <c r="AX28" s="5">
        <f t="shared" ref="AX28" si="203">SUM(AX20:AX27)</f>
        <v>41691.543791763885</v>
      </c>
      <c r="AY28" s="5">
        <f t="shared" ref="AY28" si="204">SUM(AY20:AY27)</f>
        <v>42733.832386557966</v>
      </c>
      <c r="AZ28" s="5">
        <f t="shared" ref="AZ28:BA28" si="205">SUM(AZ20:AZ27)</f>
        <v>60702.693266764189</v>
      </c>
      <c r="BA28" s="5">
        <f t="shared" si="205"/>
        <v>44897.232651127466</v>
      </c>
      <c r="BB28" s="5">
        <f t="shared" ref="BB28" si="206">SUM(BB20:BB27)</f>
        <v>46019.66346740564</v>
      </c>
      <c r="BC28" s="5">
        <f t="shared" ref="BC28" si="207">SUM(BC20:BC27)</f>
        <v>47170.155054090777</v>
      </c>
      <c r="BD28" s="5">
        <f t="shared" ref="BD28" si="208">SUM(BD20:BD27)</f>
        <v>48349.408930443045</v>
      </c>
      <c r="BE28" s="5">
        <f t="shared" ref="BE28" si="209">SUM(BE20:BE27)</f>
        <v>68679.525706597429</v>
      </c>
      <c r="BF28" s="5">
        <f t="shared" ref="BF28" si="210">SUM(BF20:BF27)</f>
        <v>50797.097757546711</v>
      </c>
      <c r="BG28" s="5">
        <f t="shared" ref="BG28" si="211">SUM(BG20:BG27)</f>
        <v>52067.025201485383</v>
      </c>
      <c r="BH28" s="5">
        <f t="shared" ref="BH28" si="212">SUM(BH20:BH27)</f>
        <v>53368.70083152251</v>
      </c>
      <c r="BI28" s="5">
        <f t="shared" ref="BI28" si="213">SUM(BI20:BI27)</f>
        <v>54702.918352310575</v>
      </c>
      <c r="BJ28" s="5">
        <f t="shared" ref="BJ28" si="214">SUM(BJ20:BJ27)</f>
        <v>77704.579441877097</v>
      </c>
      <c r="BK28" s="5">
        <f t="shared" ref="BK28" si="215">SUM(BK20:BK27)</f>
        <v>57472.25359389629</v>
      </c>
      <c r="BL28" s="5">
        <f t="shared" ref="BL28" si="216">SUM(BL20:BL27)</f>
        <v>58909.059933743694</v>
      </c>
      <c r="BM28" s="5">
        <f t="shared" ref="BM28" si="217">SUM(BM20:BM27)</f>
        <v>60381.786432087276</v>
      </c>
      <c r="BN28" s="5">
        <f t="shared" ref="BN28" si="218">SUM(BN20:BN27)</f>
        <v>61891.33109288945</v>
      </c>
      <c r="BO28" s="5">
        <f t="shared" ref="BO28" si="219">SUM(BO20:BO27)</f>
        <v>87915.599359751737</v>
      </c>
      <c r="BP28" s="5">
        <f t="shared" ref="BP28" si="220">SUM(BP20:BP27)</f>
        <v>65024.579729466983</v>
      </c>
      <c r="BQ28" s="5">
        <f t="shared" ref="BQ28" si="221">SUM(BQ20:BQ27)</f>
        <v>66650.194222703649</v>
      </c>
      <c r="BR28" s="5">
        <f t="shared" ref="BR28" si="222">SUM(BR20:BR27)</f>
        <v>68316.449078271253</v>
      </c>
      <c r="BS28" s="5">
        <f t="shared" ref="BS28" si="223">SUM(BS20:BS27)</f>
        <v>70024.360305228009</v>
      </c>
      <c r="BT28" s="5">
        <f t="shared" ref="BT28" si="224">SUM(BT20:BT27)</f>
        <v>99468.431156824867</v>
      </c>
      <c r="BU28" s="5">
        <f t="shared" ref="BU28" si="225">SUM(BU20:BU27)</f>
        <v>73569.343545680153</v>
      </c>
      <c r="BV28" s="5">
        <f t="shared" ref="BV28" si="226">SUM(BV20:BV27)</f>
        <v>75408.577134322157</v>
      </c>
      <c r="BW28" s="5">
        <f t="shared" ref="BW28" si="227">SUM(BW20:BW27)</f>
        <v>77293.791562680213</v>
      </c>
      <c r="BX28" s="5">
        <f t="shared" ref="BX28" si="228">SUM(BX20:BX27)</f>
        <v>79226.136351747205</v>
      </c>
      <c r="BY28" s="5">
        <f t="shared" ref="BY28" si="229">SUM(BY20:BY27)</f>
        <v>112539.39993417732</v>
      </c>
    </row>
    <row r="29" spans="1:77" ht="28.5" customHeight="1" thickBot="1" x14ac:dyDescent="0.3">
      <c r="A29" s="4" t="s">
        <v>30</v>
      </c>
      <c r="B29" s="26"/>
      <c r="C29" s="7">
        <f t="shared" ref="C29:W29" si="230">C17-C28</f>
        <v>108110</v>
      </c>
      <c r="D29" s="7">
        <f t="shared" si="230"/>
        <v>18549.368750000001</v>
      </c>
      <c r="E29" s="7">
        <f t="shared" si="230"/>
        <v>14557.827796875006</v>
      </c>
      <c r="F29" s="7">
        <f t="shared" si="230"/>
        <v>14995.38825230469</v>
      </c>
      <c r="G29" s="7">
        <f>G17-G28</f>
        <v>4597.4076894178834</v>
      </c>
      <c r="H29" s="7">
        <f t="shared" si="230"/>
        <v>10696.645458367595</v>
      </c>
      <c r="I29" s="7">
        <f t="shared" si="230"/>
        <v>12538.217055832743</v>
      </c>
      <c r="J29" s="7">
        <f t="shared" si="230"/>
        <v>11546.861084799271</v>
      </c>
      <c r="K29" s="7">
        <f t="shared" si="230"/>
        <v>6358.0829570361057</v>
      </c>
      <c r="L29" s="7">
        <f t="shared" si="230"/>
        <v>-618.68296426248344</v>
      </c>
      <c r="M29" s="7">
        <f t="shared" si="230"/>
        <v>5690.7335150013059</v>
      </c>
      <c r="N29" s="7">
        <f t="shared" si="230"/>
        <v>4841.9157364951279</v>
      </c>
      <c r="O29" s="7">
        <f t="shared" si="230"/>
        <v>7619.8996191017904</v>
      </c>
      <c r="P29" s="7">
        <f t="shared" si="230"/>
        <v>8148.5099970907468</v>
      </c>
      <c r="Q29" s="7">
        <f t="shared" si="230"/>
        <v>1595.3440773962575</v>
      </c>
      <c r="R29" s="7">
        <f t="shared" si="230"/>
        <v>8953.4150933519959</v>
      </c>
      <c r="S29" s="7">
        <f t="shared" si="230"/>
        <v>9589.5710176093016</v>
      </c>
      <c r="T29" s="7">
        <f t="shared" si="230"/>
        <v>8715.0169474866052</v>
      </c>
      <c r="U29" s="7">
        <f t="shared" si="230"/>
        <v>10925.134001358263</v>
      </c>
      <c r="V29" s="7">
        <f t="shared" si="230"/>
        <v>1954.2878667116347</v>
      </c>
      <c r="W29" s="7">
        <f t="shared" si="230"/>
        <v>10266.217450452717</v>
      </c>
      <c r="X29" s="7">
        <f t="shared" ref="X29:AJ29" si="231">X17-X28</f>
        <v>10971.242591089849</v>
      </c>
      <c r="Y29" s="7">
        <f t="shared" si="231"/>
        <v>11727.950160809211</v>
      </c>
      <c r="Z29" s="7">
        <f t="shared" si="231"/>
        <v>12539.840898011025</v>
      </c>
      <c r="AA29" s="7">
        <f t="shared" si="231"/>
        <v>8494.2933376853398</v>
      </c>
      <c r="AB29" s="7">
        <f t="shared" si="231"/>
        <v>14086.181508042428</v>
      </c>
      <c r="AC29" s="7">
        <f t="shared" si="231"/>
        <v>15073.345043682308</v>
      </c>
      <c r="AD29" s="7">
        <f t="shared" si="231"/>
        <v>16131.321654496111</v>
      </c>
      <c r="AE29" s="7">
        <f t="shared" si="231"/>
        <v>22239.018483496398</v>
      </c>
      <c r="AF29" s="7">
        <f t="shared" si="231"/>
        <v>8426.0754033042176</v>
      </c>
      <c r="AG29" s="7">
        <f t="shared" si="231"/>
        <v>19512.026178824282</v>
      </c>
      <c r="AH29" s="7">
        <f t="shared" si="231"/>
        <v>20889.307843877483</v>
      </c>
      <c r="AI29" s="7">
        <f t="shared" si="231"/>
        <v>22363.287611660726</v>
      </c>
      <c r="AJ29" s="7">
        <f t="shared" si="231"/>
        <v>23940.274635272137</v>
      </c>
      <c r="AK29" s="7">
        <f t="shared" ref="AK29" si="232">AK17-AK28</f>
        <v>13957.741471160349</v>
      </c>
      <c r="AL29" s="7">
        <f t="shared" ref="AL29" si="233">AL17-AL28</f>
        <v>26817.830292456838</v>
      </c>
      <c r="AM29" s="7">
        <f t="shared" ref="AM29" si="234">AM17-AM28</f>
        <v>32194.110421711601</v>
      </c>
      <c r="AN29" s="7">
        <f t="shared" ref="AN29" si="235">AN17-AN28</f>
        <v>34551.758694878961</v>
      </c>
      <c r="AO29" s="7">
        <f t="shared" ref="AO29" si="236">AO17-AO28</f>
        <v>33288.111343814089</v>
      </c>
      <c r="AP29" s="7">
        <f t="shared" ref="AP29" si="237">AP17-AP28</f>
        <v>26364.012121841712</v>
      </c>
      <c r="AQ29" s="7">
        <f t="shared" ref="AQ29" si="238">AQ17-AQ28</f>
        <v>41740.433436546999</v>
      </c>
      <c r="AR29" s="7">
        <f t="shared" ref="AR29" si="239">AR17-AR28</f>
        <v>44766.131268084027</v>
      </c>
      <c r="AS29" s="7">
        <f t="shared" ref="AS29" si="240">AS17-AS28</f>
        <v>47997.461874070548</v>
      </c>
      <c r="AT29" s="7">
        <f t="shared" ref="AT29" si="241">AT17-AT28</f>
        <v>46787.884338196287</v>
      </c>
      <c r="AU29" s="7">
        <f t="shared" ref="AU29" si="242">AU17-AU28</f>
        <v>35090.552019161856</v>
      </c>
      <c r="AV29" s="7">
        <f t="shared" ref="AV29" si="243">AV17-AV28</f>
        <v>62825.240890498455</v>
      </c>
      <c r="AW29" s="7">
        <f t="shared" ref="AW29" si="244">AW17-AW28</f>
        <v>56875.251033313099</v>
      </c>
      <c r="AX29" s="7">
        <f t="shared" ref="AX29" si="245">AX17-AX28</f>
        <v>60788.278057602067</v>
      </c>
      <c r="AY29" s="7">
        <f t="shared" ref="AY29" si="246">AY17-AY28</f>
        <v>64959.07505829406</v>
      </c>
      <c r="AZ29" s="7">
        <f t="shared" ref="AZ29:BA29" si="247">AZ17-AZ28</f>
        <v>52503.134656008719</v>
      </c>
      <c r="BA29" s="7">
        <f t="shared" si="247"/>
        <v>73251.681639940769</v>
      </c>
      <c r="BB29" s="7">
        <f t="shared" ref="BB29" si="248">BB17-BB28</f>
        <v>78249.102780568544</v>
      </c>
      <c r="BC29" s="7">
        <f t="shared" ref="BC29" si="249">BC17-BC28</f>
        <v>60512.027185500803</v>
      </c>
      <c r="BD29" s="7">
        <f t="shared" ref="BD29" si="250">BD17-BD28</f>
        <v>40064.815710970208</v>
      </c>
      <c r="BE29" s="7">
        <f t="shared" ref="BE29" si="251">BE17-BE28</f>
        <v>22477.625940091995</v>
      </c>
      <c r="BF29" s="7">
        <f t="shared" ref="BF29" si="252">BF17-BF28</f>
        <v>42205.234398665794</v>
      </c>
      <c r="BG29" s="7">
        <f t="shared" ref="BG29" si="253">BG17-BG28</f>
        <v>43842.791114232059</v>
      </c>
      <c r="BH29" s="7">
        <f t="shared" ref="BH29" si="254">BH17-BH28</f>
        <v>45562.239745410086</v>
      </c>
      <c r="BI29" s="7">
        <f t="shared" ref="BI29" si="255">BI17-BI28</f>
        <v>47368.192648082768</v>
      </c>
      <c r="BJ29" s="7">
        <f t="shared" ref="BJ29" si="256">BJ17-BJ28</f>
        <v>27631.440622840353</v>
      </c>
      <c r="BK29" s="7">
        <f t="shared" ref="BK29" si="257">BK17-BK28</f>
        <v>50123.619211832025</v>
      </c>
      <c r="BL29" s="7">
        <f t="shared" ref="BL29" si="258">BL17-BL28</f>
        <v>52159.873073250048</v>
      </c>
      <c r="BM29" s="7">
        <f t="shared" ref="BM29" si="259">BM17-BM28</f>
        <v>54300.772911602093</v>
      </c>
      <c r="BN29" s="7">
        <f t="shared" ref="BN29" si="260">BN17-BN28</f>
        <v>56552.261149023019</v>
      </c>
      <c r="BO29" s="7">
        <f t="shared" ref="BO29" si="261">BO17-BO28</f>
        <v>34443.638605663</v>
      </c>
      <c r="BP29" s="7">
        <f t="shared" ref="BP29" si="262">BP17-BP28</f>
        <v>60127.467356450776</v>
      </c>
      <c r="BQ29" s="7">
        <f t="shared" ref="BQ29" si="263">BQ17-BQ28</f>
        <v>62682.443716881709</v>
      </c>
      <c r="BR29" s="7">
        <f t="shared" ref="BR29" si="264">BR17-BR28</f>
        <v>65371.8719266025</v>
      </c>
      <c r="BS29" s="7">
        <f t="shared" ref="BS29" si="265">BS17-BS28</f>
        <v>68203.432936750527</v>
      </c>
      <c r="BT29" s="7">
        <f t="shared" ref="BT29" si="266">BT17-BT28</f>
        <v>43491.789233729563</v>
      </c>
      <c r="BU29" s="7">
        <f t="shared" ref="BU29" si="267">BU17-BU28</f>
        <v>72872.012575817454</v>
      </c>
      <c r="BV29" s="7">
        <f t="shared" ref="BV29" si="268">BV17-BV28</f>
        <v>76104.289115425097</v>
      </c>
      <c r="BW29" s="7">
        <f t="shared" ref="BW29" si="269">BW17-BW28</f>
        <v>79510.108512366889</v>
      </c>
      <c r="BX29" s="7">
        <f t="shared" ref="BX29" si="270">BX17-BX28</f>
        <v>83099.425412808807</v>
      </c>
      <c r="BY29" s="7">
        <f t="shared" ref="BY29" si="271">BY17-BY28</f>
        <v>37333.566876783094</v>
      </c>
    </row>
    <row r="30" spans="1:77" ht="15.75" thickTop="1" x14ac:dyDescent="0.25"/>
    <row r="31" spans="1:77" x14ac:dyDescent="0.25">
      <c r="A31" t="s">
        <v>31</v>
      </c>
      <c r="C31" s="3">
        <f>C29</f>
        <v>108110</v>
      </c>
      <c r="D31" s="3">
        <f>C31+D29</f>
        <v>126659.36874999999</v>
      </c>
      <c r="E31" s="3">
        <f t="shared" ref="E31:V31" si="272">D31+E29</f>
        <v>141217.196546875</v>
      </c>
      <c r="F31" s="3">
        <f t="shared" si="272"/>
        <v>156212.58479917969</v>
      </c>
      <c r="G31" s="3">
        <f>F31+G29</f>
        <v>160809.99248859758</v>
      </c>
      <c r="H31" s="3">
        <f t="shared" si="272"/>
        <v>171506.63794696517</v>
      </c>
      <c r="I31" s="3">
        <f t="shared" si="272"/>
        <v>184044.85500279791</v>
      </c>
      <c r="J31" s="3">
        <f t="shared" si="272"/>
        <v>195591.71608759719</v>
      </c>
      <c r="K31" s="3">
        <f t="shared" si="272"/>
        <v>201949.79904463328</v>
      </c>
      <c r="L31" s="3">
        <f t="shared" si="272"/>
        <v>201331.11608037079</v>
      </c>
      <c r="M31" s="3">
        <f t="shared" si="272"/>
        <v>207021.8495953721</v>
      </c>
      <c r="N31" s="3">
        <f t="shared" si="272"/>
        <v>211863.76533186724</v>
      </c>
      <c r="O31" s="3">
        <f t="shared" si="272"/>
        <v>219483.66495096902</v>
      </c>
      <c r="P31" s="3">
        <f t="shared" si="272"/>
        <v>227632.17494805978</v>
      </c>
      <c r="Q31" s="3">
        <f t="shared" si="272"/>
        <v>229227.51902545604</v>
      </c>
      <c r="R31" s="3">
        <f t="shared" si="272"/>
        <v>238180.93411880804</v>
      </c>
      <c r="S31" s="3">
        <f t="shared" si="272"/>
        <v>247770.50513641734</v>
      </c>
      <c r="T31" s="3">
        <f t="shared" si="272"/>
        <v>256485.52208390395</v>
      </c>
      <c r="U31" s="3">
        <f t="shared" si="272"/>
        <v>267410.65608526219</v>
      </c>
      <c r="V31" s="3">
        <f t="shared" si="272"/>
        <v>269364.94395197381</v>
      </c>
      <c r="W31" s="3">
        <f t="shared" ref="W31" si="273">V31+W29</f>
        <v>279631.16140242654</v>
      </c>
      <c r="X31" s="3">
        <f t="shared" ref="X31" si="274">W31+X29</f>
        <v>290602.4039935164</v>
      </c>
      <c r="Y31" s="3">
        <f t="shared" ref="Y31" si="275">X31+Y29</f>
        <v>302330.35415432561</v>
      </c>
      <c r="Z31" s="3">
        <f t="shared" ref="Z31" si="276">Y31+Z29</f>
        <v>314870.19505233667</v>
      </c>
      <c r="AA31" s="3">
        <f t="shared" ref="AA31" si="277">Z31+AA29</f>
        <v>323364.48839002202</v>
      </c>
      <c r="AB31" s="3">
        <f t="shared" ref="AB31" si="278">AA31+AB29</f>
        <v>337450.66989806446</v>
      </c>
      <c r="AC31" s="3">
        <f t="shared" ref="AC31" si="279">AB31+AC29</f>
        <v>352524.01494174678</v>
      </c>
      <c r="AD31" s="3">
        <f t="shared" ref="AD31" si="280">AC31+AD29</f>
        <v>368655.33659624291</v>
      </c>
      <c r="AE31" s="3">
        <f t="shared" ref="AE31" si="281">AD31+AE29</f>
        <v>390894.3550797393</v>
      </c>
      <c r="AF31" s="3">
        <f t="shared" ref="AF31" si="282">AE31+AF29</f>
        <v>399320.43048304354</v>
      </c>
      <c r="AG31" s="3">
        <f t="shared" ref="AG31" si="283">AF31+AG29</f>
        <v>418832.45666186785</v>
      </c>
      <c r="AH31" s="3">
        <f t="shared" ref="AH31" si="284">AG31+AH29</f>
        <v>439721.76450574532</v>
      </c>
      <c r="AI31" s="3">
        <f t="shared" ref="AI31" si="285">AH31+AI29</f>
        <v>462085.05211740604</v>
      </c>
      <c r="AJ31" s="3">
        <f t="shared" ref="AJ31" si="286">AI31+AJ29</f>
        <v>486025.3267526782</v>
      </c>
      <c r="AK31" s="3">
        <f t="shared" ref="AK31" si="287">AJ31+AK29</f>
        <v>499983.06822383858</v>
      </c>
      <c r="AL31" s="3">
        <f t="shared" ref="AL31" si="288">AK31+AL29</f>
        <v>526800.89851629536</v>
      </c>
      <c r="AM31" s="3">
        <f t="shared" ref="AM31" si="289">AL31+AM29</f>
        <v>558995.00893800694</v>
      </c>
      <c r="AN31" s="3">
        <f t="shared" ref="AN31" si="290">AM31+AN29</f>
        <v>593546.76763288595</v>
      </c>
      <c r="AO31" s="3">
        <f t="shared" ref="AO31" si="291">AN31+AO29</f>
        <v>626834.87897670001</v>
      </c>
      <c r="AP31" s="3">
        <f t="shared" ref="AP31" si="292">AO31+AP29</f>
        <v>653198.89109854167</v>
      </c>
      <c r="AQ31" s="3">
        <f t="shared" ref="AQ31" si="293">AP31+AQ29</f>
        <v>694939.32453508861</v>
      </c>
      <c r="AR31" s="3">
        <f t="shared" ref="AR31" si="294">AQ31+AR29</f>
        <v>739705.45580317266</v>
      </c>
      <c r="AS31" s="3">
        <f t="shared" ref="AS31" si="295">AR31+AS29</f>
        <v>787702.91767724324</v>
      </c>
      <c r="AT31" s="3">
        <f t="shared" ref="AT31" si="296">AS31+AT29</f>
        <v>834490.80201543949</v>
      </c>
      <c r="AU31" s="3">
        <f t="shared" ref="AU31" si="297">AT31+AU29</f>
        <v>869581.35403460136</v>
      </c>
      <c r="AV31" s="3">
        <f t="shared" ref="AV31" si="298">AU31+AV29</f>
        <v>932406.59492509987</v>
      </c>
      <c r="AW31" s="3">
        <f t="shared" ref="AW31" si="299">AV31+AW29</f>
        <v>989281.84595841297</v>
      </c>
      <c r="AX31" s="3">
        <f t="shared" ref="AX31" si="300">AW31+AX29</f>
        <v>1050070.1240160151</v>
      </c>
      <c r="AY31" s="3">
        <f t="shared" ref="AY31" si="301">AX31+AY29</f>
        <v>1115029.1990743091</v>
      </c>
      <c r="AZ31" s="3">
        <f t="shared" ref="AZ31:BA31" si="302">AY31+AZ29</f>
        <v>1167532.3337303179</v>
      </c>
      <c r="BA31" s="3">
        <f t="shared" si="302"/>
        <v>1240784.0153702586</v>
      </c>
      <c r="BB31" s="3">
        <f t="shared" ref="BB31" si="303">BA31+BB29</f>
        <v>1319033.1181508272</v>
      </c>
      <c r="BC31" s="3">
        <f t="shared" ref="BC31" si="304">BB31+BC29</f>
        <v>1379545.1453363281</v>
      </c>
      <c r="BD31" s="3">
        <f t="shared" ref="BD31" si="305">BC31+BD29</f>
        <v>1419609.9610472983</v>
      </c>
      <c r="BE31" s="3">
        <f t="shared" ref="BE31" si="306">BD31+BE29</f>
        <v>1442087.5869873902</v>
      </c>
      <c r="BF31" s="3">
        <f t="shared" ref="BF31" si="307">BE31+BF29</f>
        <v>1484292.821386056</v>
      </c>
      <c r="BG31" s="3">
        <f t="shared" ref="BG31" si="308">BF31+BG29</f>
        <v>1528135.6125002881</v>
      </c>
      <c r="BH31" s="3">
        <f t="shared" ref="BH31" si="309">BG31+BH29</f>
        <v>1573697.8522456982</v>
      </c>
      <c r="BI31" s="3">
        <f t="shared" ref="BI31" si="310">BH31+BI29</f>
        <v>1621066.044893781</v>
      </c>
      <c r="BJ31" s="3">
        <f t="shared" ref="BJ31" si="311">BI31+BJ29</f>
        <v>1648697.4855166213</v>
      </c>
      <c r="BK31" s="3">
        <f t="shared" ref="BK31" si="312">BJ31+BK29</f>
        <v>1698821.1047284533</v>
      </c>
      <c r="BL31" s="3">
        <f t="shared" ref="BL31" si="313">BK31+BL29</f>
        <v>1750980.9778017034</v>
      </c>
      <c r="BM31" s="3">
        <f t="shared" ref="BM31" si="314">BL31+BM29</f>
        <v>1805281.7507133055</v>
      </c>
      <c r="BN31" s="3">
        <f t="shared" ref="BN31" si="315">BM31+BN29</f>
        <v>1861834.0118623285</v>
      </c>
      <c r="BO31" s="3">
        <f t="shared" ref="BO31" si="316">BN31+BO29</f>
        <v>1896277.6504679916</v>
      </c>
      <c r="BP31" s="3">
        <f t="shared" ref="BP31" si="317">BO31+BP29</f>
        <v>1956405.1178244425</v>
      </c>
      <c r="BQ31" s="3">
        <f t="shared" ref="BQ31" si="318">BP31+BQ29</f>
        <v>2019087.5615413242</v>
      </c>
      <c r="BR31" s="3">
        <f t="shared" ref="BR31" si="319">BQ31+BR29</f>
        <v>2084459.4334679267</v>
      </c>
      <c r="BS31" s="3">
        <f t="shared" ref="BS31" si="320">BR31+BS29</f>
        <v>2152662.8664046773</v>
      </c>
      <c r="BT31" s="3">
        <f t="shared" ref="BT31" si="321">BS31+BT29</f>
        <v>2196154.655638407</v>
      </c>
      <c r="BU31" s="3">
        <f t="shared" ref="BU31" si="322">BT31+BU29</f>
        <v>2269026.6682142243</v>
      </c>
      <c r="BV31" s="3">
        <f t="shared" ref="BV31" si="323">BU31+BV29</f>
        <v>2345130.9573296495</v>
      </c>
      <c r="BW31" s="3">
        <f t="shared" ref="BW31" si="324">BV31+BW29</f>
        <v>2424641.0658420166</v>
      </c>
      <c r="BX31" s="3">
        <f t="shared" ref="BX31" si="325">BW31+BX29</f>
        <v>2507740.4912548256</v>
      </c>
      <c r="BY31" s="3">
        <f t="shared" ref="BY31" si="326">BX31+BY29</f>
        <v>2545074.0581316086</v>
      </c>
    </row>
    <row r="32" spans="1:77" x14ac:dyDescent="0.25">
      <c r="B32" s="10"/>
    </row>
    <row r="33" spans="1:77" ht="30" x14ac:dyDescent="0.25">
      <c r="A33" s="20" t="s">
        <v>230</v>
      </c>
      <c r="B33" s="10"/>
      <c r="C33" s="31">
        <f>C16/C28</f>
        <v>0.23217247097844113</v>
      </c>
      <c r="D33" s="31">
        <f t="shared" ref="D33:BO33" si="327">D16/D28</f>
        <v>0.43239367210655999</v>
      </c>
      <c r="E33" s="31">
        <f t="shared" si="327"/>
        <v>0.48453213825217961</v>
      </c>
      <c r="F33" s="31">
        <f t="shared" si="327"/>
        <v>0.53759264344138546</v>
      </c>
      <c r="G33" s="31">
        <f>G16/G28</f>
        <v>0.41043208540501575</v>
      </c>
      <c r="H33" s="31">
        <f t="shared" si="327"/>
        <v>0.57125064658019631</v>
      </c>
      <c r="I33" s="31">
        <f t="shared" si="327"/>
        <v>0.58295304819425842</v>
      </c>
      <c r="J33" s="31">
        <f t="shared" si="327"/>
        <v>0.63473719910322579</v>
      </c>
      <c r="K33" s="31">
        <f t="shared" si="327"/>
        <v>0.63278382645240905</v>
      </c>
      <c r="L33" s="31">
        <f t="shared" si="327"/>
        <v>0.46897466741055066</v>
      </c>
      <c r="M33" s="31">
        <f t="shared" si="327"/>
        <v>0.63212831925215163</v>
      </c>
      <c r="N33" s="31">
        <f t="shared" si="327"/>
        <v>0.64683124875675335</v>
      </c>
      <c r="O33" s="31">
        <f t="shared" si="327"/>
        <v>0.62096359274476398</v>
      </c>
      <c r="P33" s="31">
        <f t="shared" si="327"/>
        <v>0.62760701572058852</v>
      </c>
      <c r="Q33" s="31">
        <f t="shared" si="327"/>
        <v>0.46069736469739958</v>
      </c>
      <c r="R33" s="31">
        <f t="shared" si="327"/>
        <v>0.6238850939279863</v>
      </c>
      <c r="S33" s="31">
        <f t="shared" si="327"/>
        <v>0.63244240901905235</v>
      </c>
      <c r="T33" s="31">
        <f t="shared" si="327"/>
        <v>0.65445063666125547</v>
      </c>
      <c r="U33" s="31">
        <f t="shared" si="327"/>
        <v>0.64822998273009724</v>
      </c>
      <c r="V33" s="31">
        <f t="shared" si="327"/>
        <v>0.48511646430783001</v>
      </c>
      <c r="W33" s="31">
        <f t="shared" si="327"/>
        <v>0.6606885291277379</v>
      </c>
      <c r="X33" s="31">
        <f t="shared" si="327"/>
        <v>0.6691406181271361</v>
      </c>
      <c r="Y33" s="31">
        <f t="shared" si="327"/>
        <v>0.6784333116322061</v>
      </c>
      <c r="Z33" s="31">
        <f t="shared" si="327"/>
        <v>0.68859814548786447</v>
      </c>
      <c r="AA33" s="31">
        <f t="shared" si="327"/>
        <v>0.49097010245131106</v>
      </c>
      <c r="AB33" s="31">
        <f t="shared" si="327"/>
        <v>0.70101722526178711</v>
      </c>
      <c r="AC33" s="31">
        <f t="shared" si="327"/>
        <v>0.71371166403058506</v>
      </c>
      <c r="AD33" s="31">
        <f t="shared" si="327"/>
        <v>0.72740677562122258</v>
      </c>
      <c r="AE33" s="31">
        <f t="shared" si="327"/>
        <v>0.71412092563181362</v>
      </c>
      <c r="AF33" s="31">
        <f t="shared" si="327"/>
        <v>0.55397230031235289</v>
      </c>
      <c r="AG33" s="31">
        <f t="shared" si="327"/>
        <v>0.76513588130110199</v>
      </c>
      <c r="AH33" s="31">
        <f t="shared" si="327"/>
        <v>0.78294905088170952</v>
      </c>
      <c r="AI33" s="31">
        <f t="shared" si="327"/>
        <v>0.80194995885500531</v>
      </c>
      <c r="AJ33" s="31">
        <f t="shared" si="327"/>
        <v>0.82218085904255278</v>
      </c>
      <c r="AK33" s="31">
        <f t="shared" si="327"/>
        <v>0.60879100194109448</v>
      </c>
      <c r="AL33" s="31">
        <f t="shared" si="327"/>
        <v>0.84674571698688605</v>
      </c>
      <c r="AM33" s="31">
        <f t="shared" si="327"/>
        <v>0.85365657419024399</v>
      </c>
      <c r="AN33" s="31">
        <f t="shared" si="327"/>
        <v>0.88373233776017179</v>
      </c>
      <c r="AO33" s="31">
        <f t="shared" si="327"/>
        <v>0.93342850515173481</v>
      </c>
      <c r="AP33" s="31">
        <f t="shared" si="327"/>
        <v>0.68428748807505868</v>
      </c>
      <c r="AQ33" s="31">
        <f t="shared" si="327"/>
        <v>0.95892945633438753</v>
      </c>
      <c r="AR33" s="31">
        <f t="shared" si="327"/>
        <v>0.99532346567047481</v>
      </c>
      <c r="AS33" s="31">
        <f t="shared" si="327"/>
        <v>1.0335995505625073</v>
      </c>
      <c r="AT33" s="31">
        <f t="shared" si="327"/>
        <v>1.0948868561940486</v>
      </c>
      <c r="AU33" s="31">
        <f t="shared" si="327"/>
        <v>0.81656775093522549</v>
      </c>
      <c r="AV33" s="31">
        <f t="shared" si="327"/>
        <v>1.1070206989645504</v>
      </c>
      <c r="AW33" s="31">
        <f t="shared" si="327"/>
        <v>1.2034845756735681</v>
      </c>
      <c r="AX33" s="31">
        <f t="shared" si="327"/>
        <v>1.2457513488161316</v>
      </c>
      <c r="AY33" s="31">
        <f t="shared" si="327"/>
        <v>1.2900476842835573</v>
      </c>
      <c r="AZ33" s="31">
        <f t="shared" si="327"/>
        <v>0.96435643628109657</v>
      </c>
      <c r="BA33" s="31">
        <f t="shared" si="327"/>
        <v>1.3652388777975701</v>
      </c>
      <c r="BB33" s="31">
        <f t="shared" si="327"/>
        <v>1.4155071093267799</v>
      </c>
      <c r="BC33" s="31">
        <f t="shared" si="327"/>
        <v>1.4680731624373338</v>
      </c>
      <c r="BD33" s="31">
        <f t="shared" si="327"/>
        <v>1.4979732272291408</v>
      </c>
      <c r="BE33" s="31">
        <f t="shared" si="327"/>
        <v>1.0851781835736203</v>
      </c>
      <c r="BF33" s="31">
        <f t="shared" si="327"/>
        <v>1.4904315730437596</v>
      </c>
      <c r="BG33" s="31">
        <f t="shared" si="327"/>
        <v>1.4966357847643053</v>
      </c>
      <c r="BH33" s="31">
        <f t="shared" si="327"/>
        <v>1.5032616197559476</v>
      </c>
      <c r="BI33" s="31">
        <f t="shared" si="327"/>
        <v>1.510324124040257</v>
      </c>
      <c r="BJ33" s="31">
        <f t="shared" si="327"/>
        <v>1.0952503439077568</v>
      </c>
      <c r="BK33" s="31">
        <f t="shared" si="327"/>
        <v>1.5060592299240403</v>
      </c>
      <c r="BL33" s="31">
        <f t="shared" si="327"/>
        <v>1.5139964565476958</v>
      </c>
      <c r="BM33" s="31">
        <f t="shared" si="327"/>
        <v>1.5224210273735639</v>
      </c>
      <c r="BN33" s="31">
        <f t="shared" si="327"/>
        <v>1.5313500330151613</v>
      </c>
      <c r="BO33" s="31">
        <f t="shared" si="327"/>
        <v>1.1118195898636056</v>
      </c>
      <c r="BP33" s="31">
        <f t="shared" ref="BP33:BY33" si="328">BP16/BP28</f>
        <v>1.5310299130538589</v>
      </c>
      <c r="BQ33" s="31">
        <f t="shared" si="328"/>
        <v>1.5410498031346438</v>
      </c>
      <c r="BR33" s="31">
        <f t="shared" si="328"/>
        <v>1.5516335876806362</v>
      </c>
      <c r="BS33" s="31">
        <f t="shared" si="328"/>
        <v>1.5628007136381623</v>
      </c>
      <c r="BT33" s="31">
        <f t="shared" si="328"/>
        <v>1.136187624273103</v>
      </c>
      <c r="BU33" s="31">
        <f t="shared" si="328"/>
        <v>1.5672033195379307</v>
      </c>
      <c r="BV33" s="31">
        <f t="shared" si="328"/>
        <v>1.5797128736304933</v>
      </c>
      <c r="BW33" s="31">
        <f t="shared" si="328"/>
        <v>1.5928753496322512</v>
      </c>
      <c r="BX33" s="31">
        <f t="shared" si="328"/>
        <v>1.606712908370908</v>
      </c>
      <c r="BY33" s="31">
        <f t="shared" si="328"/>
        <v>1.169869182418622</v>
      </c>
    </row>
  </sheetData>
  <sheetProtection sheet="1" objects="1" scenarios="1"/>
  <mergeCells count="1">
    <mergeCell ref="A2:A3"/>
  </mergeCells>
  <phoneticPr fontId="4" type="noConversion"/>
  <conditionalFormatting sqref="C33:BY33">
    <cfRule type="colorScale" priority="1">
      <colorScale>
        <cfvo type="min"/>
        <cfvo type="percentile" val="50"/>
        <cfvo type="max"/>
        <color rgb="FFF8696B"/>
        <color rgb="FFFFEB84"/>
        <color rgb="FF63BE7B"/>
      </colorScale>
    </cfRule>
  </conditionalFormatting>
  <pageMargins left="0.7" right="0.7" top="0.75" bottom="0.75" header="0.3" footer="0.3"/>
  <pageSetup paperSize="5" scale="84" fitToWidth="6" orientation="landscape" r:id="rId1"/>
  <headerFooter>
    <oddHeader>&amp;CSt. Paul's Orthodox Christian Cemetery</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0418B-AF95-40EB-86AA-0112E507ECF7}">
  <sheetPr>
    <tabColor rgb="FF92D050"/>
  </sheetPr>
  <dimension ref="A1:D27"/>
  <sheetViews>
    <sheetView workbookViewId="0">
      <selection activeCell="A23" sqref="A23"/>
    </sheetView>
  </sheetViews>
  <sheetFormatPr defaultRowHeight="15" x14ac:dyDescent="0.25"/>
  <cols>
    <col min="1" max="1" width="19.85546875" customWidth="1"/>
    <col min="3" max="3" width="11.28515625" customWidth="1"/>
    <col min="4" max="4" width="12.7109375" customWidth="1"/>
  </cols>
  <sheetData>
    <row r="1" spans="1:4" x14ac:dyDescent="0.25">
      <c r="A1" t="s">
        <v>231</v>
      </c>
      <c r="B1">
        <f>COUNT(Table1[Age])</f>
        <v>22</v>
      </c>
    </row>
    <row r="2" spans="1:4" x14ac:dyDescent="0.25">
      <c r="A2" t="s">
        <v>254</v>
      </c>
      <c r="B2" s="78">
        <f>AVERAGE(Table1[Estimated '# Yrs to Live])</f>
        <v>25.772727272727273</v>
      </c>
    </row>
    <row r="3" spans="1:4" ht="30" x14ac:dyDescent="0.25">
      <c r="A3" t="s">
        <v>38</v>
      </c>
      <c r="B3" t="s">
        <v>45</v>
      </c>
      <c r="C3" s="20" t="s">
        <v>39</v>
      </c>
      <c r="D3" s="20" t="s">
        <v>46</v>
      </c>
    </row>
    <row r="4" spans="1:4" x14ac:dyDescent="0.25">
      <c r="A4" s="77" t="s">
        <v>47</v>
      </c>
      <c r="B4" t="s">
        <v>41</v>
      </c>
      <c r="C4" s="2">
        <v>71</v>
      </c>
      <c r="D4" s="2">
        <f>ROUND(IF(Table1[[#This Row],[Sex]]="Male",_xlfn.XLOOKUP(Table1[[#This Row],[Age]],Table2[Exact Age],Table2[Life Expectancy-M]),_xlfn.XLOOKUP(Table1[[#This Row],[Age]],Table2[Exact Age],Table2[Life Expectancy-F])),0)</f>
        <v>13</v>
      </c>
    </row>
    <row r="5" spans="1:4" x14ac:dyDescent="0.25">
      <c r="A5" s="77" t="s">
        <v>48</v>
      </c>
      <c r="B5" t="s">
        <v>42</v>
      </c>
      <c r="C5" s="2">
        <v>69</v>
      </c>
      <c r="D5" s="2">
        <f>ROUND(IF(Table1[[#This Row],[Sex]]="Male",_xlfn.XLOOKUP(Table1[[#This Row],[Age]],Table2[Exact Age],Table2[Life Expectancy-M]),_xlfn.XLOOKUP(Table1[[#This Row],[Age]],Table2[Exact Age],Table2[Life Expectancy-F])),0)</f>
        <v>17</v>
      </c>
    </row>
    <row r="6" spans="1:4" x14ac:dyDescent="0.25">
      <c r="A6" s="77" t="s">
        <v>49</v>
      </c>
      <c r="B6" t="s">
        <v>41</v>
      </c>
      <c r="C6" s="2">
        <v>40</v>
      </c>
      <c r="D6" s="2">
        <f>ROUND(IF(Table1[[#This Row],[Sex]]="Male",_xlfn.XLOOKUP(Table1[[#This Row],[Age]],Table2[Exact Age],Table2[Life Expectancy-M]),_xlfn.XLOOKUP(Table1[[#This Row],[Age]],Table2[Exact Age],Table2[Life Expectancy-F])),0)</f>
        <v>37</v>
      </c>
    </row>
    <row r="7" spans="1:4" x14ac:dyDescent="0.25">
      <c r="A7" s="77" t="s">
        <v>50</v>
      </c>
      <c r="B7" t="s">
        <v>42</v>
      </c>
      <c r="C7" s="2">
        <v>39</v>
      </c>
      <c r="D7" s="2">
        <f>ROUND(IF(Table1[[#This Row],[Sex]]="Male",_xlfn.XLOOKUP(Table1[[#This Row],[Age]],Table2[Exact Age],Table2[Life Expectancy-M]),_xlfn.XLOOKUP(Table1[[#This Row],[Age]],Table2[Exact Age],Table2[Life Expectancy-F])),0)</f>
        <v>42</v>
      </c>
    </row>
    <row r="8" spans="1:4" x14ac:dyDescent="0.25">
      <c r="A8" s="77" t="s">
        <v>51</v>
      </c>
      <c r="B8" t="s">
        <v>41</v>
      </c>
      <c r="C8" s="2">
        <v>38</v>
      </c>
      <c r="D8" s="2">
        <f>ROUND(IF(Table1[[#This Row],[Sex]]="Male",_xlfn.XLOOKUP(Table1[[#This Row],[Age]],Table2[Exact Age],Table2[Life Expectancy-M]),_xlfn.XLOOKUP(Table1[[#This Row],[Age]],Table2[Exact Age],Table2[Life Expectancy-F])),0)</f>
        <v>38</v>
      </c>
    </row>
    <row r="9" spans="1:4" x14ac:dyDescent="0.25">
      <c r="A9" s="77" t="s">
        <v>52</v>
      </c>
      <c r="B9" t="s">
        <v>42</v>
      </c>
      <c r="C9" s="2">
        <v>38</v>
      </c>
      <c r="D9" s="2">
        <f>ROUND(IF(Table1[[#This Row],[Sex]]="Male",_xlfn.XLOOKUP(Table1[[#This Row],[Age]],Table2[Exact Age],Table2[Life Expectancy-M]),_xlfn.XLOOKUP(Table1[[#This Row],[Age]],Table2[Exact Age],Table2[Life Expectancy-F])),0)</f>
        <v>43</v>
      </c>
    </row>
    <row r="10" spans="1:4" x14ac:dyDescent="0.25">
      <c r="A10" s="77" t="s">
        <v>53</v>
      </c>
      <c r="B10" t="s">
        <v>41</v>
      </c>
      <c r="C10" s="2">
        <v>35</v>
      </c>
      <c r="D10" s="2">
        <f>ROUND(IF(Table1[[#This Row],[Sex]]="Male",_xlfn.XLOOKUP(Table1[[#This Row],[Age]],Table2[Exact Age],Table2[Life Expectancy-M]),_xlfn.XLOOKUP(Table1[[#This Row],[Age]],Table2[Exact Age],Table2[Life Expectancy-F])),0)</f>
        <v>41</v>
      </c>
    </row>
    <row r="11" spans="1:4" x14ac:dyDescent="0.25">
      <c r="A11" s="77" t="s">
        <v>54</v>
      </c>
      <c r="B11" t="s">
        <v>42</v>
      </c>
      <c r="C11" s="2">
        <v>35</v>
      </c>
      <c r="D11" s="2">
        <f>ROUND(IF(Table1[[#This Row],[Sex]]="Male",_xlfn.XLOOKUP(Table1[[#This Row],[Age]],Table2[Exact Age],Table2[Life Expectancy-M]),_xlfn.XLOOKUP(Table1[[#This Row],[Age]],Table2[Exact Age],Table2[Life Expectancy-F])),0)</f>
        <v>46</v>
      </c>
    </row>
    <row r="12" spans="1:4" x14ac:dyDescent="0.25">
      <c r="A12" s="77" t="s">
        <v>88</v>
      </c>
      <c r="B12" t="s">
        <v>41</v>
      </c>
      <c r="C12" s="2">
        <v>84</v>
      </c>
      <c r="D12" s="2">
        <f>ROUND(IF(Table1[[#This Row],[Sex]]="Male",_xlfn.XLOOKUP(Table1[[#This Row],[Age]],Table2[Exact Age],Table2[Life Expectancy-M]),_xlfn.XLOOKUP(Table1[[#This Row],[Age]],Table2[Exact Age],Table2[Life Expectancy-F])),0)</f>
        <v>6</v>
      </c>
    </row>
    <row r="13" spans="1:4" x14ac:dyDescent="0.25">
      <c r="A13" s="77" t="s">
        <v>89</v>
      </c>
      <c r="B13" t="s">
        <v>42</v>
      </c>
      <c r="C13" s="2">
        <v>84</v>
      </c>
      <c r="D13" s="2">
        <f>ROUND(IF(Table1[[#This Row],[Sex]]="Male",_xlfn.XLOOKUP(Table1[[#This Row],[Age]],Table2[Exact Age],Table2[Life Expectancy-M]),_xlfn.XLOOKUP(Table1[[#This Row],[Age]],Table2[Exact Age],Table2[Life Expectancy-F])),0)</f>
        <v>7</v>
      </c>
    </row>
    <row r="14" spans="1:4" x14ac:dyDescent="0.25">
      <c r="A14" s="77" t="s">
        <v>90</v>
      </c>
      <c r="B14" t="s">
        <v>42</v>
      </c>
      <c r="C14" s="2">
        <v>58</v>
      </c>
      <c r="D14" s="2">
        <f>ROUND(IF(Table1[[#This Row],[Sex]]="Male",_xlfn.XLOOKUP(Table1[[#This Row],[Age]],Table2[Exact Age],Table2[Life Expectancy-M]),_xlfn.XLOOKUP(Table1[[#This Row],[Age]],Table2[Exact Age],Table2[Life Expectancy-F])),0)</f>
        <v>25</v>
      </c>
    </row>
    <row r="15" spans="1:4" x14ac:dyDescent="0.25">
      <c r="A15" s="77" t="s">
        <v>91</v>
      </c>
      <c r="B15" t="s">
        <v>41</v>
      </c>
      <c r="C15" s="2">
        <v>54</v>
      </c>
      <c r="D15" s="2">
        <f>ROUND(IF(Table1[[#This Row],[Sex]]="Male",_xlfn.XLOOKUP(Table1[[#This Row],[Age]],Table2[Exact Age],Table2[Life Expectancy-M]),_xlfn.XLOOKUP(Table1[[#This Row],[Age]],Table2[Exact Age],Table2[Life Expectancy-F])),0)</f>
        <v>25</v>
      </c>
    </row>
    <row r="16" spans="1:4" x14ac:dyDescent="0.25">
      <c r="A16" s="77" t="s">
        <v>92</v>
      </c>
      <c r="B16" t="s">
        <v>42</v>
      </c>
      <c r="C16" s="2">
        <v>81</v>
      </c>
      <c r="D16" s="2">
        <f>ROUND(IF(Table1[[#This Row],[Sex]]="Male",_xlfn.XLOOKUP(Table1[[#This Row],[Age]],Table2[Exact Age],Table2[Life Expectancy-M]),_xlfn.XLOOKUP(Table1[[#This Row],[Age]],Table2[Exact Age],Table2[Life Expectancy-F])),0)</f>
        <v>9</v>
      </c>
    </row>
    <row r="17" spans="1:4" x14ac:dyDescent="0.25">
      <c r="A17" s="77" t="s">
        <v>101</v>
      </c>
      <c r="B17" t="s">
        <v>42</v>
      </c>
      <c r="C17" s="2">
        <v>79</v>
      </c>
      <c r="D17" s="2">
        <f>ROUND(IF(Table1[[#This Row],[Sex]]="Male",_xlfn.XLOOKUP(Table1[[#This Row],[Age]],Table2[Exact Age],Table2[Life Expectancy-M]),_xlfn.XLOOKUP(Table1[[#This Row],[Age]],Table2[Exact Age],Table2[Life Expectancy-F])),0)</f>
        <v>10</v>
      </c>
    </row>
    <row r="18" spans="1:4" x14ac:dyDescent="0.25">
      <c r="A18" s="77" t="s">
        <v>93</v>
      </c>
      <c r="B18" t="s">
        <v>41</v>
      </c>
      <c r="C18" s="2">
        <v>36</v>
      </c>
      <c r="D18" s="2">
        <f>ROUND(IF(Table1[[#This Row],[Sex]]="Male",_xlfn.XLOOKUP(Table1[[#This Row],[Age]],Table2[Exact Age],Table2[Life Expectancy-M]),_xlfn.XLOOKUP(Table1[[#This Row],[Age]],Table2[Exact Age],Table2[Life Expectancy-F])),0)</f>
        <v>40</v>
      </c>
    </row>
    <row r="19" spans="1:4" x14ac:dyDescent="0.25">
      <c r="A19" s="77" t="s">
        <v>94</v>
      </c>
      <c r="B19" t="s">
        <v>42</v>
      </c>
      <c r="C19" s="2">
        <v>35</v>
      </c>
      <c r="D19" s="2">
        <f>ROUND(IF(Table1[[#This Row],[Sex]]="Male",_xlfn.XLOOKUP(Table1[[#This Row],[Age]],Table2[Exact Age],Table2[Life Expectancy-M]),_xlfn.XLOOKUP(Table1[[#This Row],[Age]],Table2[Exact Age],Table2[Life Expectancy-F])),0)</f>
        <v>46</v>
      </c>
    </row>
    <row r="20" spans="1:4" x14ac:dyDescent="0.25">
      <c r="A20" s="77" t="s">
        <v>95</v>
      </c>
      <c r="B20" t="s">
        <v>41</v>
      </c>
      <c r="C20" s="2">
        <v>70</v>
      </c>
      <c r="D20" s="2">
        <f>ROUND(IF(Table1[[#This Row],[Sex]]="Male",_xlfn.XLOOKUP(Table1[[#This Row],[Age]],Table2[Exact Age],Table2[Life Expectancy-M]),_xlfn.XLOOKUP(Table1[[#This Row],[Age]],Table2[Exact Age],Table2[Life Expectancy-F])),0)</f>
        <v>14</v>
      </c>
    </row>
    <row r="21" spans="1:4" x14ac:dyDescent="0.25">
      <c r="A21" s="77" t="s">
        <v>96</v>
      </c>
      <c r="B21" t="s">
        <v>42</v>
      </c>
      <c r="C21" s="2">
        <v>72</v>
      </c>
      <c r="D21" s="2">
        <f>ROUND(IF(Table1[[#This Row],[Sex]]="Male",_xlfn.XLOOKUP(Table1[[#This Row],[Age]],Table2[Exact Age],Table2[Life Expectancy-M]),_xlfn.XLOOKUP(Table1[[#This Row],[Age]],Table2[Exact Age],Table2[Life Expectancy-F])),0)</f>
        <v>15</v>
      </c>
    </row>
    <row r="22" spans="1:4" x14ac:dyDescent="0.25">
      <c r="A22" s="77" t="s">
        <v>97</v>
      </c>
      <c r="B22" t="s">
        <v>41</v>
      </c>
      <c r="C22" s="2">
        <v>66</v>
      </c>
      <c r="D22" s="2">
        <f>ROUND(IF(Table1[[#This Row],[Sex]]="Male",_xlfn.XLOOKUP(Table1[[#This Row],[Age]],Table2[Exact Age],Table2[Life Expectancy-M]),_xlfn.XLOOKUP(Table1[[#This Row],[Age]],Table2[Exact Age],Table2[Life Expectancy-F])),0)</f>
        <v>16</v>
      </c>
    </row>
    <row r="23" spans="1:4" x14ac:dyDescent="0.25">
      <c r="A23" s="77" t="s">
        <v>98</v>
      </c>
      <c r="B23" t="s">
        <v>42</v>
      </c>
      <c r="C23" s="2">
        <v>66</v>
      </c>
      <c r="D23" s="2">
        <f>ROUND(IF(Table1[[#This Row],[Sex]]="Male",_xlfn.XLOOKUP(Table1[[#This Row],[Age]],Table2[Exact Age],Table2[Life Expectancy-M]),_xlfn.XLOOKUP(Table1[[#This Row],[Age]],Table2[Exact Age],Table2[Life Expectancy-F])),0)</f>
        <v>19</v>
      </c>
    </row>
    <row r="24" spans="1:4" x14ac:dyDescent="0.25">
      <c r="A24" s="77" t="s">
        <v>99</v>
      </c>
      <c r="B24" t="s">
        <v>42</v>
      </c>
      <c r="C24" s="2">
        <v>54</v>
      </c>
      <c r="D24" s="2">
        <f>ROUND(IF(Table1[[#This Row],[Sex]]="Male",_xlfn.XLOOKUP(Table1[[#This Row],[Age]],Table2[Exact Age],Table2[Life Expectancy-M]),_xlfn.XLOOKUP(Table1[[#This Row],[Age]],Table2[Exact Age],Table2[Life Expectancy-F])),0)</f>
        <v>29</v>
      </c>
    </row>
    <row r="25" spans="1:4" x14ac:dyDescent="0.25">
      <c r="A25" s="77" t="s">
        <v>100</v>
      </c>
      <c r="B25" t="s">
        <v>42</v>
      </c>
      <c r="C25" s="2">
        <v>54</v>
      </c>
      <c r="D25" s="2">
        <f>ROUND(IF(Table1[[#This Row],[Sex]]="Male",_xlfn.XLOOKUP(Table1[[#This Row],[Age]],Table2[Exact Age],Table2[Life Expectancy-M]),_xlfn.XLOOKUP(Table1[[#This Row],[Age]],Table2[Exact Age],Table2[Life Expectancy-F])),0)</f>
        <v>29</v>
      </c>
    </row>
    <row r="27" spans="1:4" x14ac:dyDescent="0.25">
      <c r="A27" s="28" t="s">
        <v>253</v>
      </c>
    </row>
  </sheetData>
  <sheetProtection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C980-0D76-4D99-93EE-0F96FC6734BC}">
  <sheetPr>
    <tabColor theme="5" tint="0.59999389629810485"/>
  </sheetPr>
  <dimension ref="A1:G122"/>
  <sheetViews>
    <sheetView workbookViewId="0">
      <selection activeCell="A15" sqref="A15"/>
    </sheetView>
  </sheetViews>
  <sheetFormatPr defaultRowHeight="15" x14ac:dyDescent="0.25"/>
  <cols>
    <col min="1" max="1" width="11.7109375" customWidth="1"/>
    <col min="2" max="2" width="21.42578125" bestFit="1" customWidth="1"/>
    <col min="3" max="3" width="14" bestFit="1" customWidth="1"/>
    <col min="4" max="4" width="20" bestFit="1" customWidth="1"/>
    <col min="5" max="5" width="20.85546875" bestFit="1" customWidth="1"/>
    <col min="6" max="6" width="13.42578125" bestFit="1" customWidth="1"/>
    <col min="7" max="7" width="19.28515625" bestFit="1" customWidth="1"/>
  </cols>
  <sheetData>
    <row r="1" spans="1:7" x14ac:dyDescent="0.25">
      <c r="B1" s="81" t="s">
        <v>43</v>
      </c>
      <c r="C1" s="81"/>
      <c r="D1" s="81"/>
      <c r="E1" s="82" t="s">
        <v>44</v>
      </c>
      <c r="F1" s="82"/>
      <c r="G1" s="82"/>
    </row>
    <row r="2" spans="1:7" x14ac:dyDescent="0.25">
      <c r="A2" t="s">
        <v>40</v>
      </c>
      <c r="B2" t="s">
        <v>224</v>
      </c>
      <c r="C2" t="s">
        <v>223</v>
      </c>
      <c r="D2" t="s">
        <v>225</v>
      </c>
      <c r="E2" t="s">
        <v>226</v>
      </c>
      <c r="F2" t="s">
        <v>227</v>
      </c>
      <c r="G2" t="s">
        <v>228</v>
      </c>
    </row>
    <row r="3" spans="1:7" x14ac:dyDescent="0.25">
      <c r="A3">
        <v>0</v>
      </c>
      <c r="B3">
        <v>5.8599999999999998E-3</v>
      </c>
      <c r="C3" s="19">
        <v>100000</v>
      </c>
      <c r="D3">
        <v>73.540000000000006</v>
      </c>
      <c r="E3">
        <v>5.0629999999999998E-3</v>
      </c>
      <c r="F3" s="19">
        <v>100000</v>
      </c>
      <c r="G3">
        <v>79.3</v>
      </c>
    </row>
    <row r="4" spans="1:7" x14ac:dyDescent="0.25">
      <c r="A4">
        <v>1</v>
      </c>
      <c r="B4">
        <v>4.2000000000000002E-4</v>
      </c>
      <c r="C4" s="19">
        <v>99414</v>
      </c>
      <c r="D4">
        <v>72.97</v>
      </c>
      <c r="E4">
        <v>3.9300000000000001E-4</v>
      </c>
      <c r="F4" s="19">
        <v>99494</v>
      </c>
      <c r="G4">
        <v>78.7</v>
      </c>
    </row>
    <row r="5" spans="1:7" x14ac:dyDescent="0.25">
      <c r="A5">
        <v>2</v>
      </c>
      <c r="B5">
        <v>2.72E-4</v>
      </c>
      <c r="C5" s="19">
        <v>99372</v>
      </c>
      <c r="D5">
        <v>72</v>
      </c>
      <c r="E5">
        <v>2.23E-4</v>
      </c>
      <c r="F5" s="19">
        <v>99455</v>
      </c>
      <c r="G5">
        <v>77.739999999999995</v>
      </c>
    </row>
    <row r="6" spans="1:7" x14ac:dyDescent="0.25">
      <c r="A6">
        <v>3</v>
      </c>
      <c r="B6">
        <v>2.2499999999999999E-4</v>
      </c>
      <c r="C6" s="19">
        <v>99345</v>
      </c>
      <c r="D6">
        <v>71.02</v>
      </c>
      <c r="E6">
        <v>1.7699999999999999E-4</v>
      </c>
      <c r="F6" s="19">
        <v>99432</v>
      </c>
      <c r="G6">
        <v>76.75</v>
      </c>
    </row>
    <row r="7" spans="1:7" x14ac:dyDescent="0.25">
      <c r="A7">
        <v>4</v>
      </c>
      <c r="B7">
        <v>1.84E-4</v>
      </c>
      <c r="C7" s="19">
        <v>99323</v>
      </c>
      <c r="D7">
        <v>70.040000000000006</v>
      </c>
      <c r="E7">
        <v>1.44E-4</v>
      </c>
      <c r="F7" s="19">
        <v>99415</v>
      </c>
      <c r="G7">
        <v>75.77</v>
      </c>
    </row>
    <row r="8" spans="1:7" x14ac:dyDescent="0.25">
      <c r="A8">
        <v>5</v>
      </c>
      <c r="B8">
        <v>1.5699999999999999E-4</v>
      </c>
      <c r="C8" s="19">
        <v>99304</v>
      </c>
      <c r="D8">
        <v>69.05</v>
      </c>
      <c r="E8">
        <v>1.22E-4</v>
      </c>
      <c r="F8" s="19">
        <v>99400</v>
      </c>
      <c r="G8">
        <v>74.78</v>
      </c>
    </row>
    <row r="9" spans="1:7" x14ac:dyDescent="0.25">
      <c r="A9">
        <v>6</v>
      </c>
      <c r="B9">
        <v>1.3999999999999999E-4</v>
      </c>
      <c r="C9" s="19">
        <v>99289</v>
      </c>
      <c r="D9">
        <v>68.06</v>
      </c>
      <c r="E9">
        <v>1.0900000000000001E-4</v>
      </c>
      <c r="F9" s="19">
        <v>99388</v>
      </c>
      <c r="G9">
        <v>73.790000000000006</v>
      </c>
    </row>
    <row r="10" spans="1:7" x14ac:dyDescent="0.25">
      <c r="A10">
        <v>7</v>
      </c>
      <c r="B10">
        <v>1.2799999999999999E-4</v>
      </c>
      <c r="C10" s="19">
        <v>99275</v>
      </c>
      <c r="D10">
        <v>67.069999999999993</v>
      </c>
      <c r="E10">
        <v>1.02E-4</v>
      </c>
      <c r="F10" s="19">
        <v>99378</v>
      </c>
      <c r="G10">
        <v>72.790000000000006</v>
      </c>
    </row>
    <row r="11" spans="1:7" x14ac:dyDescent="0.25">
      <c r="A11">
        <v>8</v>
      </c>
      <c r="B11">
        <v>1.22E-4</v>
      </c>
      <c r="C11" s="19">
        <v>99262</v>
      </c>
      <c r="D11">
        <v>66.08</v>
      </c>
      <c r="E11">
        <v>9.7999999999999997E-5</v>
      </c>
      <c r="F11" s="19">
        <v>99367</v>
      </c>
      <c r="G11">
        <v>71.8</v>
      </c>
    </row>
    <row r="12" spans="1:7" x14ac:dyDescent="0.25">
      <c r="A12">
        <v>9</v>
      </c>
      <c r="B12">
        <v>1.2300000000000001E-4</v>
      </c>
      <c r="C12" s="19">
        <v>99250</v>
      </c>
      <c r="D12">
        <v>65.09</v>
      </c>
      <c r="E12">
        <v>9.7E-5</v>
      </c>
      <c r="F12" s="19">
        <v>99358</v>
      </c>
      <c r="G12">
        <v>70.81</v>
      </c>
    </row>
    <row r="13" spans="1:7" x14ac:dyDescent="0.25">
      <c r="A13">
        <v>10</v>
      </c>
      <c r="B13">
        <v>1.2899999999999999E-4</v>
      </c>
      <c r="C13" s="19">
        <v>99238</v>
      </c>
      <c r="D13">
        <v>64.099999999999994</v>
      </c>
      <c r="E13">
        <v>1.03E-4</v>
      </c>
      <c r="F13" s="19">
        <v>99348</v>
      </c>
      <c r="G13">
        <v>69.819999999999993</v>
      </c>
    </row>
    <row r="14" spans="1:7" x14ac:dyDescent="0.25">
      <c r="A14">
        <v>11</v>
      </c>
      <c r="B14">
        <v>1.3799999999999999E-4</v>
      </c>
      <c r="C14" s="19">
        <v>99225</v>
      </c>
      <c r="D14">
        <v>63.1</v>
      </c>
      <c r="E14">
        <v>1.13E-4</v>
      </c>
      <c r="F14" s="19">
        <v>99338</v>
      </c>
      <c r="G14">
        <v>68.819999999999993</v>
      </c>
    </row>
    <row r="15" spans="1:7" x14ac:dyDescent="0.25">
      <c r="A15">
        <v>12</v>
      </c>
      <c r="B15">
        <v>1.64E-4</v>
      </c>
      <c r="C15" s="19">
        <v>99211</v>
      </c>
      <c r="D15">
        <v>62.11</v>
      </c>
      <c r="E15">
        <v>1.3100000000000001E-4</v>
      </c>
      <c r="F15" s="19">
        <v>99327</v>
      </c>
      <c r="G15">
        <v>67.83</v>
      </c>
    </row>
    <row r="16" spans="1:7" x14ac:dyDescent="0.25">
      <c r="A16">
        <v>13</v>
      </c>
      <c r="B16">
        <v>2.2000000000000001E-4</v>
      </c>
      <c r="C16" s="19">
        <v>99195</v>
      </c>
      <c r="D16">
        <v>61.12</v>
      </c>
      <c r="E16">
        <v>1.5699999999999999E-4</v>
      </c>
      <c r="F16" s="19">
        <v>99314</v>
      </c>
      <c r="G16">
        <v>66.84</v>
      </c>
    </row>
    <row r="17" spans="1:7" x14ac:dyDescent="0.25">
      <c r="A17">
        <v>14</v>
      </c>
      <c r="B17">
        <v>3.1E-4</v>
      </c>
      <c r="C17" s="19">
        <v>99173</v>
      </c>
      <c r="D17">
        <v>60.14</v>
      </c>
      <c r="E17">
        <v>1.9000000000000001E-4</v>
      </c>
      <c r="F17" s="19">
        <v>99298</v>
      </c>
      <c r="G17">
        <v>65.849999999999994</v>
      </c>
    </row>
    <row r="18" spans="1:7" x14ac:dyDescent="0.25">
      <c r="A18">
        <v>15</v>
      </c>
      <c r="B18">
        <v>4.46E-4</v>
      </c>
      <c r="C18" s="19">
        <v>99143</v>
      </c>
      <c r="D18">
        <v>59.16</v>
      </c>
      <c r="E18">
        <v>2.33E-4</v>
      </c>
      <c r="F18" s="19">
        <v>99279</v>
      </c>
      <c r="G18">
        <v>64.86</v>
      </c>
    </row>
    <row r="19" spans="1:7" x14ac:dyDescent="0.25">
      <c r="A19">
        <v>16</v>
      </c>
      <c r="B19">
        <v>6.3699999999999998E-4</v>
      </c>
      <c r="C19" s="19">
        <v>99098</v>
      </c>
      <c r="D19">
        <v>58.18</v>
      </c>
      <c r="E19">
        <v>2.9100000000000003E-4</v>
      </c>
      <c r="F19" s="19">
        <v>99256</v>
      </c>
      <c r="G19">
        <v>63.88</v>
      </c>
    </row>
    <row r="20" spans="1:7" x14ac:dyDescent="0.25">
      <c r="A20">
        <v>17</v>
      </c>
      <c r="B20">
        <v>8.6799999999999996E-4</v>
      </c>
      <c r="C20" s="19">
        <v>99035</v>
      </c>
      <c r="D20">
        <v>57.22</v>
      </c>
      <c r="E20">
        <v>3.5500000000000001E-4</v>
      </c>
      <c r="F20" s="19">
        <v>99227</v>
      </c>
      <c r="G20">
        <v>62.9</v>
      </c>
    </row>
    <row r="21" spans="1:7" x14ac:dyDescent="0.25">
      <c r="A21">
        <v>18</v>
      </c>
      <c r="B21">
        <v>1.1000000000000001E-3</v>
      </c>
      <c r="C21" s="19">
        <v>98949</v>
      </c>
      <c r="D21">
        <v>56.27</v>
      </c>
      <c r="E21">
        <v>4.1800000000000002E-4</v>
      </c>
      <c r="F21" s="19">
        <v>99192</v>
      </c>
      <c r="G21">
        <v>61.92</v>
      </c>
    </row>
    <row r="22" spans="1:7" x14ac:dyDescent="0.25">
      <c r="A22">
        <v>19</v>
      </c>
      <c r="B22">
        <v>1.2700000000000001E-3</v>
      </c>
      <c r="C22" s="19">
        <v>98840</v>
      </c>
      <c r="D22">
        <v>55.33</v>
      </c>
      <c r="E22">
        <v>4.6099999999999998E-4</v>
      </c>
      <c r="F22" s="19">
        <v>99150</v>
      </c>
      <c r="G22">
        <v>60.94</v>
      </c>
    </row>
    <row r="23" spans="1:7" x14ac:dyDescent="0.25">
      <c r="A23">
        <v>20</v>
      </c>
      <c r="B23">
        <v>1.3730000000000001E-3</v>
      </c>
      <c r="C23" s="19">
        <v>98715</v>
      </c>
      <c r="D23">
        <v>54.4</v>
      </c>
      <c r="E23">
        <v>5.0699999999999996E-4</v>
      </c>
      <c r="F23" s="19">
        <v>99105</v>
      </c>
      <c r="G23">
        <v>59.97</v>
      </c>
    </row>
    <row r="24" spans="1:7" x14ac:dyDescent="0.25">
      <c r="A24">
        <v>21</v>
      </c>
      <c r="B24">
        <v>1.488E-3</v>
      </c>
      <c r="C24" s="19">
        <v>98579</v>
      </c>
      <c r="D24">
        <v>53.47</v>
      </c>
      <c r="E24">
        <v>5.5599999999999996E-4</v>
      </c>
      <c r="F24" s="19">
        <v>99055</v>
      </c>
      <c r="G24">
        <v>59</v>
      </c>
    </row>
    <row r="25" spans="1:7" x14ac:dyDescent="0.25">
      <c r="A25">
        <v>22</v>
      </c>
      <c r="B25">
        <v>1.6050000000000001E-3</v>
      </c>
      <c r="C25" s="19">
        <v>98433</v>
      </c>
      <c r="D25">
        <v>52.55</v>
      </c>
      <c r="E25">
        <v>6.0999999999999997E-4</v>
      </c>
      <c r="F25" s="19">
        <v>98999</v>
      </c>
      <c r="G25">
        <v>58.03</v>
      </c>
    </row>
    <row r="26" spans="1:7" x14ac:dyDescent="0.25">
      <c r="A26">
        <v>23</v>
      </c>
      <c r="B26">
        <v>1.714E-3</v>
      </c>
      <c r="C26" s="19">
        <v>98275</v>
      </c>
      <c r="D26">
        <v>51.64</v>
      </c>
      <c r="E26">
        <v>6.6600000000000003E-4</v>
      </c>
      <c r="F26" s="19">
        <v>98939</v>
      </c>
      <c r="G26">
        <v>57.07</v>
      </c>
    </row>
    <row r="27" spans="1:7" x14ac:dyDescent="0.25">
      <c r="A27">
        <v>24</v>
      </c>
      <c r="B27">
        <v>1.835E-3</v>
      </c>
      <c r="C27" s="19">
        <v>98106</v>
      </c>
      <c r="D27">
        <v>50.72</v>
      </c>
      <c r="E27">
        <v>7.2199999999999999E-4</v>
      </c>
      <c r="F27" s="19">
        <v>98873</v>
      </c>
      <c r="G27">
        <v>56.11</v>
      </c>
    </row>
    <row r="28" spans="1:7" x14ac:dyDescent="0.25">
      <c r="A28">
        <v>25</v>
      </c>
      <c r="B28">
        <v>1.9629999999999999E-3</v>
      </c>
      <c r="C28" s="19">
        <v>97926</v>
      </c>
      <c r="D28">
        <v>49.82</v>
      </c>
      <c r="E28">
        <v>7.7499999999999997E-4</v>
      </c>
      <c r="F28" s="19">
        <v>98802</v>
      </c>
      <c r="G28">
        <v>55.15</v>
      </c>
    </row>
    <row r="29" spans="1:7" x14ac:dyDescent="0.25">
      <c r="A29">
        <v>26</v>
      </c>
      <c r="B29">
        <v>2.0820000000000001E-3</v>
      </c>
      <c r="C29" s="19">
        <v>97734</v>
      </c>
      <c r="D29">
        <v>48.91</v>
      </c>
      <c r="E29">
        <v>8.3100000000000003E-4</v>
      </c>
      <c r="F29" s="19">
        <v>98725</v>
      </c>
      <c r="G29">
        <v>54.19</v>
      </c>
    </row>
    <row r="30" spans="1:7" x14ac:dyDescent="0.25">
      <c r="A30">
        <v>27</v>
      </c>
      <c r="B30">
        <v>2.202E-3</v>
      </c>
      <c r="C30" s="19">
        <v>97530</v>
      </c>
      <c r="D30">
        <v>48.01</v>
      </c>
      <c r="E30">
        <v>8.8900000000000003E-4</v>
      </c>
      <c r="F30" s="19">
        <v>98643</v>
      </c>
      <c r="G30">
        <v>53.23</v>
      </c>
    </row>
    <row r="31" spans="1:7" x14ac:dyDescent="0.25">
      <c r="A31">
        <v>28</v>
      </c>
      <c r="B31">
        <v>2.33E-3</v>
      </c>
      <c r="C31" s="19">
        <v>97316</v>
      </c>
      <c r="D31">
        <v>47.12</v>
      </c>
      <c r="E31">
        <v>9.5200000000000005E-4</v>
      </c>
      <c r="F31" s="19">
        <v>98555</v>
      </c>
      <c r="G31">
        <v>52.28</v>
      </c>
    </row>
    <row r="32" spans="1:7" x14ac:dyDescent="0.25">
      <c r="A32">
        <v>29</v>
      </c>
      <c r="B32">
        <v>2.457E-3</v>
      </c>
      <c r="C32" s="19">
        <v>97089</v>
      </c>
      <c r="D32">
        <v>46.23</v>
      </c>
      <c r="E32">
        <v>1.0250000000000001E-3</v>
      </c>
      <c r="F32" s="19">
        <v>98462</v>
      </c>
      <c r="G32">
        <v>51.33</v>
      </c>
    </row>
    <row r="33" spans="1:7" x14ac:dyDescent="0.25">
      <c r="A33">
        <v>30</v>
      </c>
      <c r="B33">
        <v>2.5739999999999999E-3</v>
      </c>
      <c r="C33" s="19">
        <v>96850</v>
      </c>
      <c r="D33">
        <v>45.34</v>
      </c>
      <c r="E33">
        <v>1.1039999999999999E-3</v>
      </c>
      <c r="F33" s="19">
        <v>98361</v>
      </c>
      <c r="G33">
        <v>50.38</v>
      </c>
    </row>
    <row r="34" spans="1:7" x14ac:dyDescent="0.25">
      <c r="A34">
        <v>31</v>
      </c>
      <c r="B34">
        <v>2.6830000000000001E-3</v>
      </c>
      <c r="C34" s="19">
        <v>96601</v>
      </c>
      <c r="D34">
        <v>44.46</v>
      </c>
      <c r="E34">
        <v>1.1919999999999999E-3</v>
      </c>
      <c r="F34" s="19">
        <v>98252</v>
      </c>
      <c r="G34">
        <v>49.44</v>
      </c>
    </row>
    <row r="35" spans="1:7" x14ac:dyDescent="0.25">
      <c r="A35">
        <v>32</v>
      </c>
      <c r="B35">
        <v>2.787E-3</v>
      </c>
      <c r="C35" s="19">
        <v>96342</v>
      </c>
      <c r="D35">
        <v>43.57</v>
      </c>
      <c r="E35">
        <v>1.289E-3</v>
      </c>
      <c r="F35" s="19">
        <v>98135</v>
      </c>
      <c r="G35">
        <v>48.5</v>
      </c>
    </row>
    <row r="36" spans="1:7" x14ac:dyDescent="0.25">
      <c r="A36">
        <v>33</v>
      </c>
      <c r="B36">
        <v>2.8809999999999999E-3</v>
      </c>
      <c r="C36" s="19">
        <v>96073</v>
      </c>
      <c r="D36">
        <v>42.69</v>
      </c>
      <c r="E36">
        <v>1.3829999999999999E-3</v>
      </c>
      <c r="F36" s="19">
        <v>98008</v>
      </c>
      <c r="G36">
        <v>47.56</v>
      </c>
    </row>
    <row r="37" spans="1:7" x14ac:dyDescent="0.25">
      <c r="A37">
        <v>34</v>
      </c>
      <c r="B37">
        <v>2.9740000000000001E-3</v>
      </c>
      <c r="C37" s="19">
        <v>95797</v>
      </c>
      <c r="D37">
        <v>41.82</v>
      </c>
      <c r="E37">
        <v>1.4649999999999999E-3</v>
      </c>
      <c r="F37" s="19">
        <v>97873</v>
      </c>
      <c r="G37">
        <v>46.62</v>
      </c>
    </row>
    <row r="38" spans="1:7" x14ac:dyDescent="0.25">
      <c r="A38">
        <v>35</v>
      </c>
      <c r="B38">
        <v>3.0739999999999999E-3</v>
      </c>
      <c r="C38" s="19">
        <v>95512</v>
      </c>
      <c r="D38">
        <v>40.94</v>
      </c>
      <c r="E38">
        <v>1.544E-3</v>
      </c>
      <c r="F38" s="19">
        <v>97730</v>
      </c>
      <c r="G38">
        <v>45.69</v>
      </c>
    </row>
    <row r="39" spans="1:7" x14ac:dyDescent="0.25">
      <c r="A39">
        <v>36</v>
      </c>
      <c r="B39">
        <v>3.1749999999999999E-3</v>
      </c>
      <c r="C39" s="19">
        <v>95218</v>
      </c>
      <c r="D39">
        <v>40.06</v>
      </c>
      <c r="E39">
        <v>1.6260000000000001E-3</v>
      </c>
      <c r="F39" s="19">
        <v>97579</v>
      </c>
      <c r="G39">
        <v>44.76</v>
      </c>
    </row>
    <row r="40" spans="1:7" x14ac:dyDescent="0.25">
      <c r="A40">
        <v>37</v>
      </c>
      <c r="B40">
        <v>3.2950000000000002E-3</v>
      </c>
      <c r="C40" s="19">
        <v>94916</v>
      </c>
      <c r="D40">
        <v>39.19</v>
      </c>
      <c r="E40">
        <v>1.719E-3</v>
      </c>
      <c r="F40" s="19">
        <v>97420</v>
      </c>
      <c r="G40">
        <v>43.83</v>
      </c>
    </row>
    <row r="41" spans="1:7" x14ac:dyDescent="0.25">
      <c r="A41">
        <v>38</v>
      </c>
      <c r="B41">
        <v>3.444E-3</v>
      </c>
      <c r="C41" s="19">
        <v>94603</v>
      </c>
      <c r="D41">
        <v>38.32</v>
      </c>
      <c r="E41">
        <v>1.8240000000000001E-3</v>
      </c>
      <c r="F41" s="19">
        <v>97252</v>
      </c>
      <c r="G41">
        <v>42.91</v>
      </c>
    </row>
    <row r="42" spans="1:7" x14ac:dyDescent="0.25">
      <c r="A42">
        <v>39</v>
      </c>
      <c r="B42">
        <v>3.6080000000000001E-3</v>
      </c>
      <c r="C42" s="19">
        <v>94277</v>
      </c>
      <c r="D42">
        <v>37.450000000000003</v>
      </c>
      <c r="E42">
        <v>1.9400000000000001E-3</v>
      </c>
      <c r="F42" s="19">
        <v>97075</v>
      </c>
      <c r="G42">
        <v>41.98</v>
      </c>
    </row>
    <row r="43" spans="1:7" x14ac:dyDescent="0.25">
      <c r="A43">
        <v>40</v>
      </c>
      <c r="B43">
        <v>3.7799999999999999E-3</v>
      </c>
      <c r="C43" s="19">
        <v>93937</v>
      </c>
      <c r="D43">
        <v>36.58</v>
      </c>
      <c r="E43">
        <v>2.0660000000000001E-3</v>
      </c>
      <c r="F43" s="19">
        <v>96887</v>
      </c>
      <c r="G43">
        <v>41.07</v>
      </c>
    </row>
    <row r="44" spans="1:7" x14ac:dyDescent="0.25">
      <c r="A44">
        <v>41</v>
      </c>
      <c r="B44">
        <v>3.9579999999999997E-3</v>
      </c>
      <c r="C44" s="19">
        <v>93582</v>
      </c>
      <c r="D44">
        <v>35.72</v>
      </c>
      <c r="E44">
        <v>2.202E-3</v>
      </c>
      <c r="F44" s="19">
        <v>96687</v>
      </c>
      <c r="G44">
        <v>40.15</v>
      </c>
    </row>
    <row r="45" spans="1:7" x14ac:dyDescent="0.25">
      <c r="A45">
        <v>42</v>
      </c>
      <c r="B45">
        <v>4.1440000000000001E-3</v>
      </c>
      <c r="C45" s="19">
        <v>93211</v>
      </c>
      <c r="D45">
        <v>34.86</v>
      </c>
      <c r="E45">
        <v>2.3509999999999998E-3</v>
      </c>
      <c r="F45" s="19">
        <v>96474</v>
      </c>
      <c r="G45">
        <v>39.24</v>
      </c>
    </row>
    <row r="46" spans="1:7" x14ac:dyDescent="0.25">
      <c r="A46">
        <v>43</v>
      </c>
      <c r="B46">
        <v>4.3369999999999997E-3</v>
      </c>
      <c r="C46" s="19">
        <v>92825</v>
      </c>
      <c r="D46">
        <v>34</v>
      </c>
      <c r="E46">
        <v>2.4819999999999998E-3</v>
      </c>
      <c r="F46" s="19">
        <v>96247</v>
      </c>
      <c r="G46">
        <v>38.33</v>
      </c>
    </row>
    <row r="47" spans="1:7" x14ac:dyDescent="0.25">
      <c r="A47">
        <v>44</v>
      </c>
      <c r="B47">
        <v>4.5399999999999998E-3</v>
      </c>
      <c r="C47" s="19">
        <v>92423</v>
      </c>
      <c r="D47">
        <v>33.15</v>
      </c>
      <c r="E47">
        <v>2.6220000000000002E-3</v>
      </c>
      <c r="F47" s="19">
        <v>96008</v>
      </c>
      <c r="G47">
        <v>37.42</v>
      </c>
    </row>
    <row r="48" spans="1:7" x14ac:dyDescent="0.25">
      <c r="A48">
        <v>45</v>
      </c>
      <c r="B48">
        <v>4.7739999999999996E-3</v>
      </c>
      <c r="C48" s="19">
        <v>92003</v>
      </c>
      <c r="D48">
        <v>32.299999999999997</v>
      </c>
      <c r="E48">
        <v>2.7889999999999998E-3</v>
      </c>
      <c r="F48" s="19">
        <v>95756</v>
      </c>
      <c r="G48">
        <v>36.520000000000003</v>
      </c>
    </row>
    <row r="49" spans="1:7" x14ac:dyDescent="0.25">
      <c r="A49">
        <v>46</v>
      </c>
      <c r="B49">
        <v>5.0639999999999999E-3</v>
      </c>
      <c r="C49" s="19">
        <v>91564</v>
      </c>
      <c r="D49">
        <v>31.45</v>
      </c>
      <c r="E49">
        <v>2.9940000000000001E-3</v>
      </c>
      <c r="F49" s="19">
        <v>95489</v>
      </c>
      <c r="G49">
        <v>35.619999999999997</v>
      </c>
    </row>
    <row r="50" spans="1:7" x14ac:dyDescent="0.25">
      <c r="A50">
        <v>47</v>
      </c>
      <c r="B50">
        <v>5.3990000000000002E-3</v>
      </c>
      <c r="C50" s="19">
        <v>91100</v>
      </c>
      <c r="D50">
        <v>30.61</v>
      </c>
      <c r="E50">
        <v>3.2190000000000001E-3</v>
      </c>
      <c r="F50" s="19">
        <v>95203</v>
      </c>
      <c r="G50">
        <v>34.729999999999997</v>
      </c>
    </row>
    <row r="51" spans="1:7" x14ac:dyDescent="0.25">
      <c r="A51">
        <v>48</v>
      </c>
      <c r="B51">
        <v>5.7959999999999999E-3</v>
      </c>
      <c r="C51" s="19">
        <v>90608</v>
      </c>
      <c r="D51">
        <v>29.77</v>
      </c>
      <c r="E51">
        <v>3.467E-3</v>
      </c>
      <c r="F51" s="19">
        <v>94897</v>
      </c>
      <c r="G51">
        <v>33.840000000000003</v>
      </c>
    </row>
    <row r="52" spans="1:7" x14ac:dyDescent="0.25">
      <c r="A52">
        <v>49</v>
      </c>
      <c r="B52">
        <v>6.2139999999999999E-3</v>
      </c>
      <c r="C52" s="19">
        <v>90083</v>
      </c>
      <c r="D52">
        <v>28.94</v>
      </c>
      <c r="E52">
        <v>3.7290000000000001E-3</v>
      </c>
      <c r="F52" s="19">
        <v>94568</v>
      </c>
      <c r="G52">
        <v>32.950000000000003</v>
      </c>
    </row>
    <row r="53" spans="1:7" x14ac:dyDescent="0.25">
      <c r="A53">
        <v>50</v>
      </c>
      <c r="B53">
        <v>6.6709999999999998E-3</v>
      </c>
      <c r="C53" s="19">
        <v>89523</v>
      </c>
      <c r="D53">
        <v>28.12</v>
      </c>
      <c r="E53">
        <v>4.0109999999999998E-3</v>
      </c>
      <c r="F53" s="19">
        <v>94215</v>
      </c>
      <c r="G53">
        <v>32.07</v>
      </c>
    </row>
    <row r="54" spans="1:7" x14ac:dyDescent="0.25">
      <c r="A54">
        <v>51</v>
      </c>
      <c r="B54">
        <v>7.1669999999999998E-3</v>
      </c>
      <c r="C54" s="19">
        <v>88926</v>
      </c>
      <c r="D54">
        <v>27.3</v>
      </c>
      <c r="E54">
        <v>4.3059999999999999E-3</v>
      </c>
      <c r="F54" s="19">
        <v>93837</v>
      </c>
      <c r="G54">
        <v>31.2</v>
      </c>
    </row>
    <row r="55" spans="1:7" x14ac:dyDescent="0.25">
      <c r="A55">
        <v>52</v>
      </c>
      <c r="B55">
        <v>7.7359999999999998E-3</v>
      </c>
      <c r="C55" s="19">
        <v>88289</v>
      </c>
      <c r="D55">
        <v>26.5</v>
      </c>
      <c r="E55">
        <v>4.6340000000000001E-3</v>
      </c>
      <c r="F55" s="19">
        <v>93433</v>
      </c>
      <c r="G55">
        <v>30.33</v>
      </c>
    </row>
    <row r="56" spans="1:7" x14ac:dyDescent="0.25">
      <c r="A56">
        <v>53</v>
      </c>
      <c r="B56">
        <v>8.3510000000000008E-3</v>
      </c>
      <c r="C56" s="19">
        <v>87606</v>
      </c>
      <c r="D56">
        <v>25.7</v>
      </c>
      <c r="E56">
        <v>4.9810000000000002E-3</v>
      </c>
      <c r="F56" s="19">
        <v>93000</v>
      </c>
      <c r="G56">
        <v>29.47</v>
      </c>
    </row>
    <row r="57" spans="1:7" x14ac:dyDescent="0.25">
      <c r="A57">
        <v>54</v>
      </c>
      <c r="B57">
        <v>9.0349999999999996E-3</v>
      </c>
      <c r="C57" s="19">
        <v>86874</v>
      </c>
      <c r="D57">
        <v>24.91</v>
      </c>
      <c r="E57">
        <v>5.3699999999999998E-3</v>
      </c>
      <c r="F57" s="19">
        <v>92537</v>
      </c>
      <c r="G57">
        <v>28.62</v>
      </c>
    </row>
    <row r="58" spans="1:7" x14ac:dyDescent="0.25">
      <c r="A58">
        <v>55</v>
      </c>
      <c r="B58">
        <v>9.7699999999999992E-3</v>
      </c>
      <c r="C58" s="19">
        <v>86089</v>
      </c>
      <c r="D58">
        <v>24.14</v>
      </c>
      <c r="E58">
        <v>5.8310000000000002E-3</v>
      </c>
      <c r="F58" s="19">
        <v>92040</v>
      </c>
      <c r="G58">
        <v>27.77</v>
      </c>
    </row>
    <row r="59" spans="1:7" x14ac:dyDescent="0.25">
      <c r="A59">
        <v>56</v>
      </c>
      <c r="B59">
        <v>1.0567E-2</v>
      </c>
      <c r="C59" s="19">
        <v>85248</v>
      </c>
      <c r="D59">
        <v>23.37</v>
      </c>
      <c r="E59">
        <v>6.326E-3</v>
      </c>
      <c r="F59" s="19">
        <v>91503</v>
      </c>
      <c r="G59">
        <v>26.93</v>
      </c>
    </row>
    <row r="60" spans="1:7" x14ac:dyDescent="0.25">
      <c r="A60">
        <v>57</v>
      </c>
      <c r="B60">
        <v>1.1398E-2</v>
      </c>
      <c r="C60" s="19">
        <v>84347</v>
      </c>
      <c r="D60">
        <v>22.61</v>
      </c>
      <c r="E60">
        <v>6.8370000000000002E-3</v>
      </c>
      <c r="F60" s="19">
        <v>90924</v>
      </c>
      <c r="G60">
        <v>26.1</v>
      </c>
    </row>
    <row r="61" spans="1:7" x14ac:dyDescent="0.25">
      <c r="A61">
        <v>58</v>
      </c>
      <c r="B61">
        <v>1.2291E-2</v>
      </c>
      <c r="C61" s="19">
        <v>83386</v>
      </c>
      <c r="D61">
        <v>21.87</v>
      </c>
      <c r="E61">
        <v>7.3990000000000002E-3</v>
      </c>
      <c r="F61" s="19">
        <v>90303</v>
      </c>
      <c r="G61">
        <v>25.27</v>
      </c>
    </row>
    <row r="62" spans="1:7" x14ac:dyDescent="0.25">
      <c r="A62">
        <v>59</v>
      </c>
      <c r="B62">
        <v>1.3224E-2</v>
      </c>
      <c r="C62" s="19">
        <v>82361</v>
      </c>
      <c r="D62">
        <v>21.13</v>
      </c>
      <c r="E62">
        <v>8.0330000000000002E-3</v>
      </c>
      <c r="F62" s="19">
        <v>89635</v>
      </c>
      <c r="G62">
        <v>24.46</v>
      </c>
    </row>
    <row r="63" spans="1:7" x14ac:dyDescent="0.25">
      <c r="A63">
        <v>60</v>
      </c>
      <c r="B63">
        <v>1.4267E-2</v>
      </c>
      <c r="C63" s="19">
        <v>81272</v>
      </c>
      <c r="D63">
        <v>20.41</v>
      </c>
      <c r="E63">
        <v>8.6870000000000003E-3</v>
      </c>
      <c r="F63" s="19">
        <v>88915</v>
      </c>
      <c r="G63">
        <v>23.65</v>
      </c>
    </row>
    <row r="64" spans="1:7" x14ac:dyDescent="0.25">
      <c r="A64">
        <v>61</v>
      </c>
      <c r="B64">
        <v>1.5353E-2</v>
      </c>
      <c r="C64" s="19">
        <v>80112</v>
      </c>
      <c r="D64">
        <v>19.7</v>
      </c>
      <c r="E64">
        <v>9.4109999999999992E-3</v>
      </c>
      <c r="F64" s="19">
        <v>88142</v>
      </c>
      <c r="G64">
        <v>22.86</v>
      </c>
    </row>
    <row r="65" spans="1:7" x14ac:dyDescent="0.25">
      <c r="A65">
        <v>62</v>
      </c>
      <c r="B65">
        <v>1.6483999999999999E-2</v>
      </c>
      <c r="C65" s="19">
        <v>78882</v>
      </c>
      <c r="D65">
        <v>19</v>
      </c>
      <c r="E65">
        <v>1.0139E-2</v>
      </c>
      <c r="F65" s="19">
        <v>87313</v>
      </c>
      <c r="G65">
        <v>22.07</v>
      </c>
    </row>
    <row r="66" spans="1:7" x14ac:dyDescent="0.25">
      <c r="A66">
        <v>63</v>
      </c>
      <c r="B66">
        <v>1.7617000000000001E-2</v>
      </c>
      <c r="C66" s="19">
        <v>77582</v>
      </c>
      <c r="D66">
        <v>18.309999999999999</v>
      </c>
      <c r="E66">
        <v>1.0848999999999999E-2</v>
      </c>
      <c r="F66" s="19">
        <v>86427</v>
      </c>
      <c r="G66">
        <v>21.29</v>
      </c>
    </row>
    <row r="67" spans="1:7" x14ac:dyDescent="0.25">
      <c r="A67">
        <v>64</v>
      </c>
      <c r="B67">
        <v>1.8759000000000001E-2</v>
      </c>
      <c r="C67" s="19">
        <v>76215</v>
      </c>
      <c r="D67">
        <v>17.63</v>
      </c>
      <c r="E67">
        <v>1.155E-2</v>
      </c>
      <c r="F67" s="19">
        <v>85490</v>
      </c>
      <c r="G67">
        <v>20.52</v>
      </c>
    </row>
    <row r="68" spans="1:7" x14ac:dyDescent="0.25">
      <c r="A68">
        <v>65</v>
      </c>
      <c r="B68">
        <v>1.9914000000000001E-2</v>
      </c>
      <c r="C68" s="19">
        <v>74786</v>
      </c>
      <c r="D68">
        <v>16.95</v>
      </c>
      <c r="E68">
        <v>1.2215999999999999E-2</v>
      </c>
      <c r="F68" s="19">
        <v>84502</v>
      </c>
      <c r="G68">
        <v>19.75</v>
      </c>
    </row>
    <row r="69" spans="1:7" x14ac:dyDescent="0.25">
      <c r="A69">
        <v>66</v>
      </c>
      <c r="B69">
        <v>2.1104000000000001E-2</v>
      </c>
      <c r="C69" s="19">
        <v>73296</v>
      </c>
      <c r="D69">
        <v>16.29</v>
      </c>
      <c r="E69">
        <v>1.2952E-2</v>
      </c>
      <c r="F69" s="19">
        <v>83470</v>
      </c>
      <c r="G69">
        <v>18.989999999999998</v>
      </c>
    </row>
    <row r="70" spans="1:7" x14ac:dyDescent="0.25">
      <c r="A70">
        <v>67</v>
      </c>
      <c r="B70">
        <v>2.2422999999999998E-2</v>
      </c>
      <c r="C70" s="19">
        <v>71749</v>
      </c>
      <c r="D70">
        <v>15.63</v>
      </c>
      <c r="E70">
        <v>1.3844E-2</v>
      </c>
      <c r="F70" s="19">
        <v>82389</v>
      </c>
      <c r="G70">
        <v>18.23</v>
      </c>
    </row>
    <row r="71" spans="1:7" x14ac:dyDescent="0.25">
      <c r="A71">
        <v>68</v>
      </c>
      <c r="B71">
        <v>2.3847E-2</v>
      </c>
      <c r="C71" s="19">
        <v>70141</v>
      </c>
      <c r="D71">
        <v>14.98</v>
      </c>
      <c r="E71">
        <v>1.4862999999999999E-2</v>
      </c>
      <c r="F71" s="19">
        <v>81248</v>
      </c>
      <c r="G71">
        <v>17.48</v>
      </c>
    </row>
    <row r="72" spans="1:7" x14ac:dyDescent="0.25">
      <c r="A72">
        <v>69</v>
      </c>
      <c r="B72">
        <v>2.5357000000000001E-2</v>
      </c>
      <c r="C72" s="19">
        <v>68468</v>
      </c>
      <c r="D72">
        <v>14.33</v>
      </c>
      <c r="E72">
        <v>1.6028000000000001E-2</v>
      </c>
      <c r="F72" s="19">
        <v>80041</v>
      </c>
      <c r="G72">
        <v>16.739999999999998</v>
      </c>
    </row>
    <row r="73" spans="1:7" x14ac:dyDescent="0.25">
      <c r="A73">
        <v>70</v>
      </c>
      <c r="B73">
        <v>2.7050000000000001E-2</v>
      </c>
      <c r="C73" s="19">
        <v>66732</v>
      </c>
      <c r="D73">
        <v>13.69</v>
      </c>
      <c r="E73">
        <v>1.7329000000000001E-2</v>
      </c>
      <c r="F73" s="19">
        <v>78758</v>
      </c>
      <c r="G73">
        <v>16</v>
      </c>
    </row>
    <row r="74" spans="1:7" x14ac:dyDescent="0.25">
      <c r="A74">
        <v>71</v>
      </c>
      <c r="B74">
        <v>2.8969999999999999E-2</v>
      </c>
      <c r="C74" s="19">
        <v>64927</v>
      </c>
      <c r="D74">
        <v>13.06</v>
      </c>
      <c r="E74">
        <v>1.8859000000000001E-2</v>
      </c>
      <c r="F74" s="19">
        <v>77393</v>
      </c>
      <c r="G74">
        <v>15.27</v>
      </c>
    </row>
    <row r="75" spans="1:7" x14ac:dyDescent="0.25">
      <c r="A75">
        <v>72</v>
      </c>
      <c r="B75">
        <v>3.1188E-2</v>
      </c>
      <c r="C75" s="19">
        <v>63046</v>
      </c>
      <c r="D75">
        <v>12.43</v>
      </c>
      <c r="E75">
        <v>2.0608999999999999E-2</v>
      </c>
      <c r="F75" s="19">
        <v>75934</v>
      </c>
      <c r="G75">
        <v>14.56</v>
      </c>
    </row>
    <row r="76" spans="1:7" x14ac:dyDescent="0.25">
      <c r="A76">
        <v>73</v>
      </c>
      <c r="B76">
        <v>3.3753999999999999E-2</v>
      </c>
      <c r="C76" s="19">
        <v>61080</v>
      </c>
      <c r="D76">
        <v>11.82</v>
      </c>
      <c r="E76">
        <v>2.2620000000000001E-2</v>
      </c>
      <c r="F76" s="19">
        <v>74369</v>
      </c>
      <c r="G76">
        <v>13.85</v>
      </c>
    </row>
    <row r="77" spans="1:7" x14ac:dyDescent="0.25">
      <c r="A77">
        <v>74</v>
      </c>
      <c r="B77">
        <v>3.6747000000000002E-2</v>
      </c>
      <c r="C77" s="19">
        <v>59018</v>
      </c>
      <c r="D77">
        <v>11.21</v>
      </c>
      <c r="E77">
        <v>2.4958000000000001E-2</v>
      </c>
      <c r="F77" s="19">
        <v>72686</v>
      </c>
      <c r="G77">
        <v>13.16</v>
      </c>
    </row>
    <row r="78" spans="1:7" x14ac:dyDescent="0.25">
      <c r="A78">
        <v>75</v>
      </c>
      <c r="B78">
        <v>4.0563000000000002E-2</v>
      </c>
      <c r="C78" s="19">
        <v>56849</v>
      </c>
      <c r="D78">
        <v>10.62</v>
      </c>
      <c r="E78">
        <v>2.7906E-2</v>
      </c>
      <c r="F78" s="19">
        <v>70872</v>
      </c>
      <c r="G78">
        <v>12.49</v>
      </c>
    </row>
    <row r="79" spans="1:7" x14ac:dyDescent="0.25">
      <c r="A79">
        <v>76</v>
      </c>
      <c r="B79">
        <v>4.4308E-2</v>
      </c>
      <c r="C79" s="19">
        <v>54543</v>
      </c>
      <c r="D79">
        <v>10.050000000000001</v>
      </c>
      <c r="E79">
        <v>3.0925000000000001E-2</v>
      </c>
      <c r="F79" s="19">
        <v>68895</v>
      </c>
      <c r="G79">
        <v>11.83</v>
      </c>
    </row>
    <row r="80" spans="1:7" x14ac:dyDescent="0.25">
      <c r="A80">
        <v>77</v>
      </c>
      <c r="B80">
        <v>4.8497999999999999E-2</v>
      </c>
      <c r="C80" s="19">
        <v>52126</v>
      </c>
      <c r="D80">
        <v>9.49</v>
      </c>
      <c r="E80">
        <v>3.4139999999999997E-2</v>
      </c>
      <c r="F80" s="19">
        <v>66764</v>
      </c>
      <c r="G80">
        <v>11.19</v>
      </c>
    </row>
    <row r="81" spans="1:7" x14ac:dyDescent="0.25">
      <c r="A81">
        <v>78</v>
      </c>
      <c r="B81">
        <v>5.3228999999999999E-2</v>
      </c>
      <c r="C81" s="19">
        <v>49598</v>
      </c>
      <c r="D81">
        <v>8.9499999999999993</v>
      </c>
      <c r="E81">
        <v>3.7620000000000001E-2</v>
      </c>
      <c r="F81" s="19">
        <v>64485</v>
      </c>
      <c r="G81">
        <v>10.57</v>
      </c>
    </row>
    <row r="82" spans="1:7" x14ac:dyDescent="0.25">
      <c r="A82">
        <v>79</v>
      </c>
      <c r="B82">
        <v>5.8777999999999997E-2</v>
      </c>
      <c r="C82" s="19">
        <v>46958</v>
      </c>
      <c r="D82">
        <v>8.42</v>
      </c>
      <c r="E82">
        <v>4.1724999999999998E-2</v>
      </c>
      <c r="F82" s="19">
        <v>62059</v>
      </c>
      <c r="G82">
        <v>9.9600000000000009</v>
      </c>
    </row>
    <row r="83" spans="1:7" x14ac:dyDescent="0.25">
      <c r="A83">
        <v>80</v>
      </c>
      <c r="B83">
        <v>6.4616999999999994E-2</v>
      </c>
      <c r="C83" s="19">
        <v>44198</v>
      </c>
      <c r="D83">
        <v>7.92</v>
      </c>
      <c r="E83">
        <v>4.6323999999999997E-2</v>
      </c>
      <c r="F83" s="19">
        <v>59469</v>
      </c>
      <c r="G83">
        <v>9.3800000000000008</v>
      </c>
    </row>
    <row r="84" spans="1:7" x14ac:dyDescent="0.25">
      <c r="A84">
        <v>81</v>
      </c>
      <c r="B84">
        <v>7.0946999999999996E-2</v>
      </c>
      <c r="C84" s="19">
        <v>41342</v>
      </c>
      <c r="D84">
        <v>7.43</v>
      </c>
      <c r="E84">
        <v>5.1333999999999998E-2</v>
      </c>
      <c r="F84" s="19">
        <v>56714</v>
      </c>
      <c r="G84">
        <v>8.81</v>
      </c>
    </row>
    <row r="85" spans="1:7" x14ac:dyDescent="0.25">
      <c r="A85">
        <v>82</v>
      </c>
      <c r="B85">
        <v>7.7834E-2</v>
      </c>
      <c r="C85" s="19">
        <v>38409</v>
      </c>
      <c r="D85">
        <v>6.96</v>
      </c>
      <c r="E85">
        <v>5.6911000000000003E-2</v>
      </c>
      <c r="F85" s="19">
        <v>53803</v>
      </c>
      <c r="G85">
        <v>8.26</v>
      </c>
    </row>
    <row r="86" spans="1:7" x14ac:dyDescent="0.25">
      <c r="A86">
        <v>83</v>
      </c>
      <c r="B86">
        <v>8.5685999999999998E-2</v>
      </c>
      <c r="C86" s="19">
        <v>35420</v>
      </c>
      <c r="D86">
        <v>6.5</v>
      </c>
      <c r="E86">
        <v>6.3279000000000002E-2</v>
      </c>
      <c r="F86" s="19">
        <v>50741</v>
      </c>
      <c r="G86">
        <v>7.73</v>
      </c>
    </row>
    <row r="87" spans="1:7" x14ac:dyDescent="0.25">
      <c r="A87">
        <v>84</v>
      </c>
      <c r="B87">
        <v>9.4809000000000004E-2</v>
      </c>
      <c r="C87" s="19">
        <v>32385</v>
      </c>
      <c r="D87">
        <v>6.07</v>
      </c>
      <c r="E87">
        <v>7.0704000000000003E-2</v>
      </c>
      <c r="F87" s="19">
        <v>47530</v>
      </c>
      <c r="G87">
        <v>7.21</v>
      </c>
    </row>
    <row r="88" spans="1:7" x14ac:dyDescent="0.25">
      <c r="A88">
        <v>85</v>
      </c>
      <c r="B88">
        <v>0.10509</v>
      </c>
      <c r="C88" s="19">
        <v>29314</v>
      </c>
      <c r="D88">
        <v>5.65</v>
      </c>
      <c r="E88">
        <v>7.9184000000000004E-2</v>
      </c>
      <c r="F88" s="19">
        <v>44170</v>
      </c>
      <c r="G88">
        <v>6.72</v>
      </c>
    </row>
    <row r="89" spans="1:7" x14ac:dyDescent="0.25">
      <c r="A89">
        <v>86</v>
      </c>
      <c r="B89">
        <v>0.116592</v>
      </c>
      <c r="C89" s="19">
        <v>26234</v>
      </c>
      <c r="D89">
        <v>5.26</v>
      </c>
      <c r="E89">
        <v>8.8696999999999998E-2</v>
      </c>
      <c r="F89" s="19">
        <v>40672</v>
      </c>
      <c r="G89">
        <v>6.26</v>
      </c>
    </row>
    <row r="90" spans="1:7" x14ac:dyDescent="0.25">
      <c r="A90">
        <v>87</v>
      </c>
      <c r="B90">
        <v>0.129306</v>
      </c>
      <c r="C90" s="19">
        <v>23175</v>
      </c>
      <c r="D90">
        <v>4.88</v>
      </c>
      <c r="E90">
        <v>9.9239999999999995E-2</v>
      </c>
      <c r="F90" s="19">
        <v>37065</v>
      </c>
      <c r="G90">
        <v>5.82</v>
      </c>
    </row>
    <row r="91" spans="1:7" x14ac:dyDescent="0.25">
      <c r="A91">
        <v>88</v>
      </c>
      <c r="B91">
        <v>0.142732</v>
      </c>
      <c r="C91" s="19">
        <v>20178</v>
      </c>
      <c r="D91">
        <v>4.53</v>
      </c>
      <c r="E91">
        <v>0.11047999999999999</v>
      </c>
      <c r="F91" s="19">
        <v>33386</v>
      </c>
      <c r="G91">
        <v>5.41</v>
      </c>
    </row>
    <row r="92" spans="1:7" x14ac:dyDescent="0.25">
      <c r="A92">
        <v>89</v>
      </c>
      <c r="B92">
        <v>0.157638</v>
      </c>
      <c r="C92" s="19">
        <v>17298</v>
      </c>
      <c r="D92">
        <v>4.21</v>
      </c>
      <c r="E92">
        <v>0.12307800000000001</v>
      </c>
      <c r="F92" s="19">
        <v>29698</v>
      </c>
      <c r="G92">
        <v>5.0199999999999996</v>
      </c>
    </row>
    <row r="93" spans="1:7" x14ac:dyDescent="0.25">
      <c r="A93">
        <v>90</v>
      </c>
      <c r="B93">
        <v>0.174458</v>
      </c>
      <c r="C93" s="19">
        <v>14571</v>
      </c>
      <c r="D93">
        <v>3.9</v>
      </c>
      <c r="E93">
        <v>0.137152</v>
      </c>
      <c r="F93" s="19">
        <v>26043</v>
      </c>
      <c r="G93">
        <v>4.6500000000000004</v>
      </c>
    </row>
    <row r="94" spans="1:7" x14ac:dyDescent="0.25">
      <c r="A94">
        <v>91</v>
      </c>
      <c r="B94">
        <v>0.193027</v>
      </c>
      <c r="C94" s="19">
        <v>12029</v>
      </c>
      <c r="D94">
        <v>3.62</v>
      </c>
      <c r="E94">
        <v>0.15260499999999999</v>
      </c>
      <c r="F94" s="19">
        <v>22471</v>
      </c>
      <c r="G94">
        <v>4.3099999999999996</v>
      </c>
    </row>
    <row r="95" spans="1:7" x14ac:dyDescent="0.25">
      <c r="A95">
        <v>92</v>
      </c>
      <c r="B95">
        <v>0.21293000000000001</v>
      </c>
      <c r="C95" s="19">
        <v>9707</v>
      </c>
      <c r="D95">
        <v>3.36</v>
      </c>
      <c r="E95">
        <v>0.16949400000000001</v>
      </c>
      <c r="F95" s="19">
        <v>19042</v>
      </c>
      <c r="G95">
        <v>3.99</v>
      </c>
    </row>
    <row r="96" spans="1:7" x14ac:dyDescent="0.25">
      <c r="A96">
        <v>93</v>
      </c>
      <c r="B96">
        <v>0.232657</v>
      </c>
      <c r="C96" s="19">
        <v>7640</v>
      </c>
      <c r="D96">
        <v>3.14</v>
      </c>
      <c r="E96">
        <v>0.18762300000000001</v>
      </c>
      <c r="F96" s="19">
        <v>15814</v>
      </c>
      <c r="G96">
        <v>3.71</v>
      </c>
    </row>
    <row r="97" spans="1:7" x14ac:dyDescent="0.25">
      <c r="A97">
        <v>94</v>
      </c>
      <c r="B97">
        <v>0.25182599999999999</v>
      </c>
      <c r="C97" s="19">
        <v>5863</v>
      </c>
      <c r="D97">
        <v>2.94</v>
      </c>
      <c r="E97">
        <v>0.206647</v>
      </c>
      <c r="F97" s="19">
        <v>12847</v>
      </c>
      <c r="G97">
        <v>3.45</v>
      </c>
    </row>
    <row r="98" spans="1:7" x14ac:dyDescent="0.25">
      <c r="A98">
        <v>95</v>
      </c>
      <c r="B98">
        <v>0.27094299999999999</v>
      </c>
      <c r="C98" s="19">
        <v>4386</v>
      </c>
      <c r="D98">
        <v>2.76</v>
      </c>
      <c r="E98">
        <v>0.22589000000000001</v>
      </c>
      <c r="F98" s="19">
        <v>10192</v>
      </c>
      <c r="G98">
        <v>3.22</v>
      </c>
    </row>
    <row r="99" spans="1:7" x14ac:dyDescent="0.25">
      <c r="A99">
        <v>96</v>
      </c>
      <c r="B99">
        <v>0.28975600000000001</v>
      </c>
      <c r="C99" s="19">
        <v>3198</v>
      </c>
      <c r="D99">
        <v>2.6</v>
      </c>
      <c r="E99">
        <v>0.24505399999999999</v>
      </c>
      <c r="F99" s="19">
        <v>7890</v>
      </c>
      <c r="G99">
        <v>3.01</v>
      </c>
    </row>
    <row r="100" spans="1:7" x14ac:dyDescent="0.25">
      <c r="A100">
        <v>97</v>
      </c>
      <c r="B100">
        <v>0.30799799999999999</v>
      </c>
      <c r="C100" s="19">
        <v>2271</v>
      </c>
      <c r="D100">
        <v>2.4500000000000002</v>
      </c>
      <c r="E100">
        <v>0.26381500000000002</v>
      </c>
      <c r="F100" s="19">
        <v>5956</v>
      </c>
      <c r="G100">
        <v>2.82</v>
      </c>
    </row>
    <row r="101" spans="1:7" x14ac:dyDescent="0.25">
      <c r="A101">
        <v>98</v>
      </c>
      <c r="B101">
        <v>0.32539299999999999</v>
      </c>
      <c r="C101" s="19">
        <v>1572</v>
      </c>
      <c r="D101">
        <v>2.3199999999999998</v>
      </c>
      <c r="E101">
        <v>0.28182800000000002</v>
      </c>
      <c r="F101" s="19">
        <v>4385</v>
      </c>
      <c r="G101">
        <v>2.66</v>
      </c>
    </row>
    <row r="102" spans="1:7" x14ac:dyDescent="0.25">
      <c r="A102">
        <v>99</v>
      </c>
      <c r="B102">
        <v>0.34166200000000002</v>
      </c>
      <c r="C102" s="19">
        <v>1060</v>
      </c>
      <c r="D102">
        <v>2.2000000000000002</v>
      </c>
      <c r="E102">
        <v>0.298738</v>
      </c>
      <c r="F102" s="19">
        <v>3149</v>
      </c>
      <c r="G102">
        <v>2.5</v>
      </c>
    </row>
    <row r="103" spans="1:7" x14ac:dyDescent="0.25">
      <c r="A103">
        <v>100</v>
      </c>
      <c r="B103">
        <v>0.35874600000000001</v>
      </c>
      <c r="C103">
        <v>698</v>
      </c>
      <c r="D103">
        <v>2.09</v>
      </c>
      <c r="E103">
        <v>0.316662</v>
      </c>
      <c r="F103" s="19">
        <v>2208</v>
      </c>
      <c r="G103">
        <v>2.35</v>
      </c>
    </row>
    <row r="104" spans="1:7" x14ac:dyDescent="0.25">
      <c r="A104">
        <v>101</v>
      </c>
      <c r="B104">
        <v>0.37668299999999999</v>
      </c>
      <c r="C104">
        <v>448</v>
      </c>
      <c r="D104">
        <v>1.98</v>
      </c>
      <c r="E104">
        <v>0.33566200000000002</v>
      </c>
      <c r="F104" s="19">
        <v>1509</v>
      </c>
      <c r="G104">
        <v>2.21</v>
      </c>
    </row>
    <row r="105" spans="1:7" x14ac:dyDescent="0.25">
      <c r="A105">
        <v>102</v>
      </c>
      <c r="B105">
        <v>0.39551700000000001</v>
      </c>
      <c r="C105">
        <v>279</v>
      </c>
      <c r="D105">
        <v>1.87</v>
      </c>
      <c r="E105">
        <v>0.35580200000000001</v>
      </c>
      <c r="F105" s="19">
        <v>1003</v>
      </c>
      <c r="G105">
        <v>2.08</v>
      </c>
    </row>
    <row r="106" spans="1:7" x14ac:dyDescent="0.25">
      <c r="A106">
        <v>103</v>
      </c>
      <c r="B106">
        <v>0.41529300000000002</v>
      </c>
      <c r="C106">
        <v>169</v>
      </c>
      <c r="D106">
        <v>1.77</v>
      </c>
      <c r="E106">
        <v>0.37714999999999999</v>
      </c>
      <c r="F106">
        <v>646</v>
      </c>
      <c r="G106">
        <v>1.95</v>
      </c>
    </row>
    <row r="107" spans="1:7" x14ac:dyDescent="0.25">
      <c r="A107">
        <v>104</v>
      </c>
      <c r="B107">
        <v>0.436058</v>
      </c>
      <c r="C107">
        <v>99</v>
      </c>
      <c r="D107">
        <v>1.67</v>
      </c>
      <c r="E107">
        <v>0.399779</v>
      </c>
      <c r="F107">
        <v>402</v>
      </c>
      <c r="G107">
        <v>1.82</v>
      </c>
    </row>
    <row r="108" spans="1:7" x14ac:dyDescent="0.25">
      <c r="A108">
        <v>105</v>
      </c>
      <c r="B108">
        <v>0.45785999999999999</v>
      </c>
      <c r="C108">
        <v>56</v>
      </c>
      <c r="D108">
        <v>1.58</v>
      </c>
      <c r="E108">
        <v>0.42376599999999998</v>
      </c>
      <c r="F108">
        <v>241</v>
      </c>
      <c r="G108">
        <v>1.71</v>
      </c>
    </row>
    <row r="109" spans="1:7" x14ac:dyDescent="0.25">
      <c r="A109">
        <v>106</v>
      </c>
      <c r="B109">
        <v>0.48075299999999999</v>
      </c>
      <c r="C109">
        <v>30</v>
      </c>
      <c r="D109">
        <v>1.49</v>
      </c>
      <c r="E109">
        <v>0.44919199999999998</v>
      </c>
      <c r="F109">
        <v>139</v>
      </c>
      <c r="G109">
        <v>1.59</v>
      </c>
    </row>
    <row r="110" spans="1:7" x14ac:dyDescent="0.25">
      <c r="A110">
        <v>107</v>
      </c>
      <c r="B110">
        <v>0.50479099999999999</v>
      </c>
      <c r="C110">
        <v>16</v>
      </c>
      <c r="D110">
        <v>1.4</v>
      </c>
      <c r="E110">
        <v>0.47614299999999998</v>
      </c>
      <c r="F110">
        <v>77</v>
      </c>
      <c r="G110">
        <v>1.49</v>
      </c>
    </row>
    <row r="111" spans="1:7" x14ac:dyDescent="0.25">
      <c r="A111">
        <v>108</v>
      </c>
      <c r="B111">
        <v>0.53003100000000003</v>
      </c>
      <c r="C111">
        <v>8</v>
      </c>
      <c r="D111">
        <v>1.32</v>
      </c>
      <c r="E111">
        <v>0.50471200000000005</v>
      </c>
      <c r="F111">
        <v>40</v>
      </c>
      <c r="G111">
        <v>1.39</v>
      </c>
    </row>
    <row r="112" spans="1:7" x14ac:dyDescent="0.25">
      <c r="A112">
        <v>109</v>
      </c>
      <c r="B112">
        <v>0.55653200000000003</v>
      </c>
      <c r="C112">
        <v>4</v>
      </c>
      <c r="D112">
        <v>1.24</v>
      </c>
      <c r="E112">
        <v>0.53499399999999997</v>
      </c>
      <c r="F112">
        <v>20</v>
      </c>
      <c r="G112">
        <v>1.29</v>
      </c>
    </row>
    <row r="113" spans="1:7" x14ac:dyDescent="0.25">
      <c r="A113">
        <v>110</v>
      </c>
      <c r="B113">
        <v>0.58435899999999996</v>
      </c>
      <c r="C113">
        <v>2</v>
      </c>
      <c r="D113">
        <v>1.1599999999999999</v>
      </c>
      <c r="E113">
        <v>0.56709399999999999</v>
      </c>
      <c r="F113">
        <v>9</v>
      </c>
      <c r="G113">
        <v>1.2</v>
      </c>
    </row>
    <row r="114" spans="1:7" x14ac:dyDescent="0.25">
      <c r="A114">
        <v>111</v>
      </c>
      <c r="B114">
        <v>0.61357700000000004</v>
      </c>
      <c r="C114">
        <v>1</v>
      </c>
      <c r="D114">
        <v>1.0900000000000001</v>
      </c>
      <c r="E114">
        <v>0.60111999999999999</v>
      </c>
      <c r="F114">
        <v>4</v>
      </c>
      <c r="G114">
        <v>1.1100000000000001</v>
      </c>
    </row>
    <row r="115" spans="1:7" x14ac:dyDescent="0.25">
      <c r="A115">
        <v>112</v>
      </c>
      <c r="B115">
        <v>0.64425600000000005</v>
      </c>
      <c r="C115">
        <v>0</v>
      </c>
      <c r="D115">
        <v>1.01</v>
      </c>
      <c r="E115">
        <v>0.63718699999999995</v>
      </c>
      <c r="F115">
        <v>2</v>
      </c>
      <c r="G115">
        <v>1.03</v>
      </c>
    </row>
    <row r="116" spans="1:7" x14ac:dyDescent="0.25">
      <c r="A116">
        <v>113</v>
      </c>
      <c r="B116">
        <v>0.67646799999999996</v>
      </c>
      <c r="C116">
        <v>0</v>
      </c>
      <c r="D116">
        <v>0.95</v>
      </c>
      <c r="E116">
        <v>0.67541799999999996</v>
      </c>
      <c r="F116">
        <v>1</v>
      </c>
      <c r="G116">
        <v>0.95</v>
      </c>
    </row>
    <row r="117" spans="1:7" x14ac:dyDescent="0.25">
      <c r="A117">
        <v>114</v>
      </c>
      <c r="B117">
        <v>0.71029200000000003</v>
      </c>
      <c r="C117">
        <v>0</v>
      </c>
      <c r="D117">
        <v>0.88</v>
      </c>
      <c r="E117">
        <v>0.71029200000000003</v>
      </c>
      <c r="F117">
        <v>0</v>
      </c>
      <c r="G117">
        <v>0.88</v>
      </c>
    </row>
    <row r="118" spans="1:7" x14ac:dyDescent="0.25">
      <c r="A118">
        <v>115</v>
      </c>
      <c r="B118">
        <v>0.74580599999999997</v>
      </c>
      <c r="C118">
        <v>0</v>
      </c>
      <c r="D118">
        <v>0.82</v>
      </c>
      <c r="E118">
        <v>0.74580599999999997</v>
      </c>
      <c r="F118">
        <v>0</v>
      </c>
      <c r="G118">
        <v>0.82</v>
      </c>
    </row>
    <row r="119" spans="1:7" x14ac:dyDescent="0.25">
      <c r="A119">
        <v>116</v>
      </c>
      <c r="B119">
        <v>0.78309700000000004</v>
      </c>
      <c r="C119">
        <v>0</v>
      </c>
      <c r="D119">
        <v>0.76</v>
      </c>
      <c r="E119">
        <v>0.78309700000000004</v>
      </c>
      <c r="F119">
        <v>0</v>
      </c>
      <c r="G119">
        <v>0.76</v>
      </c>
    </row>
    <row r="120" spans="1:7" x14ac:dyDescent="0.25">
      <c r="A120">
        <v>117</v>
      </c>
      <c r="B120">
        <v>0.82225099999999995</v>
      </c>
      <c r="C120">
        <v>0</v>
      </c>
      <c r="D120">
        <v>0.7</v>
      </c>
      <c r="E120">
        <v>0.82225099999999995</v>
      </c>
      <c r="F120">
        <v>0</v>
      </c>
      <c r="G120">
        <v>0.7</v>
      </c>
    </row>
    <row r="121" spans="1:7" x14ac:dyDescent="0.25">
      <c r="A121">
        <v>118</v>
      </c>
      <c r="B121">
        <v>0.86336400000000002</v>
      </c>
      <c r="C121">
        <v>0</v>
      </c>
      <c r="D121">
        <v>0.65</v>
      </c>
      <c r="E121">
        <v>0.86336400000000002</v>
      </c>
      <c r="F121">
        <v>0</v>
      </c>
      <c r="G121">
        <v>0.65</v>
      </c>
    </row>
    <row r="122" spans="1:7" x14ac:dyDescent="0.25">
      <c r="A122">
        <v>119</v>
      </c>
      <c r="B122">
        <v>0.906532</v>
      </c>
      <c r="C122">
        <v>0</v>
      </c>
      <c r="D122">
        <v>0.6</v>
      </c>
      <c r="E122">
        <v>0.906532</v>
      </c>
      <c r="F122">
        <v>0</v>
      </c>
      <c r="G122">
        <v>0.6</v>
      </c>
    </row>
  </sheetData>
  <sheetProtection sheet="1" objects="1" scenarios="1"/>
  <mergeCells count="2">
    <mergeCell ref="B1:D1"/>
    <mergeCell ref="E1:G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FE18-9F27-4456-B8EC-8C184DDB2324}">
  <sheetPr>
    <tabColor theme="4" tint="0.59999389629810485"/>
  </sheetPr>
  <dimension ref="A1:C78"/>
  <sheetViews>
    <sheetView workbookViewId="0">
      <selection activeCell="A3" sqref="A3"/>
    </sheetView>
  </sheetViews>
  <sheetFormatPr defaultRowHeight="15" x14ac:dyDescent="0.25"/>
  <cols>
    <col min="3" max="3" width="10" customWidth="1"/>
  </cols>
  <sheetData>
    <row r="1" spans="1:1" ht="15.75" x14ac:dyDescent="0.25">
      <c r="A1" s="53" t="s">
        <v>169</v>
      </c>
    </row>
    <row r="2" spans="1:1" ht="15.75" x14ac:dyDescent="0.25">
      <c r="A2" s="53" t="s">
        <v>212</v>
      </c>
    </row>
    <row r="3" spans="1:1" ht="15.75" x14ac:dyDescent="0.25">
      <c r="A3" s="53" t="s">
        <v>170</v>
      </c>
    </row>
    <row r="6" spans="1:1" ht="17.25" x14ac:dyDescent="0.25">
      <c r="A6" s="54" t="s">
        <v>171</v>
      </c>
    </row>
    <row r="7" spans="1:1" ht="15.75" x14ac:dyDescent="0.25">
      <c r="A7" s="55" t="s">
        <v>207</v>
      </c>
    </row>
    <row r="10" spans="1:1" ht="17.25" x14ac:dyDescent="0.25">
      <c r="A10" s="54" t="s">
        <v>172</v>
      </c>
    </row>
    <row r="11" spans="1:1" ht="15.75" x14ac:dyDescent="0.25">
      <c r="A11" s="55" t="s">
        <v>208</v>
      </c>
    </row>
    <row r="14" spans="1:1" ht="17.25" x14ac:dyDescent="0.25">
      <c r="A14" s="54" t="s">
        <v>173</v>
      </c>
    </row>
    <row r="15" spans="1:1" ht="15.75" x14ac:dyDescent="0.25">
      <c r="A15" s="53" t="s">
        <v>174</v>
      </c>
    </row>
    <row r="16" spans="1:1" ht="15.75" x14ac:dyDescent="0.25">
      <c r="A16" s="55" t="s">
        <v>209</v>
      </c>
    </row>
    <row r="17" spans="1:1" ht="15.75" x14ac:dyDescent="0.25">
      <c r="A17" s="53" t="s">
        <v>175</v>
      </c>
    </row>
    <row r="18" spans="1:1" x14ac:dyDescent="0.25">
      <c r="A18" s="56"/>
    </row>
    <row r="19" spans="1:1" ht="15.75" x14ac:dyDescent="0.25">
      <c r="A19" s="57" t="s">
        <v>213</v>
      </c>
    </row>
    <row r="20" spans="1:1" ht="15.75" x14ac:dyDescent="0.25">
      <c r="A20" s="57" t="s">
        <v>214</v>
      </c>
    </row>
    <row r="21" spans="1:1" ht="15.75" x14ac:dyDescent="0.25">
      <c r="A21" s="57" t="s">
        <v>215</v>
      </c>
    </row>
    <row r="24" spans="1:1" ht="17.25" x14ac:dyDescent="0.25">
      <c r="A24" s="54" t="s">
        <v>176</v>
      </c>
    </row>
    <row r="25" spans="1:1" ht="15.75" x14ac:dyDescent="0.25">
      <c r="A25" s="55" t="s">
        <v>177</v>
      </c>
    </row>
    <row r="26" spans="1:1" x14ac:dyDescent="0.25">
      <c r="A26" s="56"/>
    </row>
    <row r="27" spans="1:1" ht="15.75" x14ac:dyDescent="0.25">
      <c r="A27" s="57" t="s">
        <v>216</v>
      </c>
    </row>
    <row r="28" spans="1:1" ht="15.75" x14ac:dyDescent="0.25">
      <c r="A28" s="57" t="s">
        <v>217</v>
      </c>
    </row>
    <row r="29" spans="1:1" ht="15.75" x14ac:dyDescent="0.25">
      <c r="A29" s="57" t="s">
        <v>218</v>
      </c>
    </row>
    <row r="32" spans="1:1" ht="17.25" x14ac:dyDescent="0.25">
      <c r="A32" s="54" t="s">
        <v>178</v>
      </c>
    </row>
    <row r="33" spans="1:3" ht="15.75" x14ac:dyDescent="0.25">
      <c r="A33" s="55" t="s">
        <v>179</v>
      </c>
    </row>
    <row r="36" spans="1:3" ht="17.25" x14ac:dyDescent="0.25">
      <c r="A36" s="54" t="s">
        <v>180</v>
      </c>
    </row>
    <row r="37" spans="1:3" ht="15.75" x14ac:dyDescent="0.25">
      <c r="A37" s="55" t="s">
        <v>181</v>
      </c>
    </row>
    <row r="40" spans="1:3" ht="17.25" x14ac:dyDescent="0.25">
      <c r="A40" s="54" t="s">
        <v>182</v>
      </c>
    </row>
    <row r="41" spans="1:3" ht="15.75" x14ac:dyDescent="0.25">
      <c r="A41" s="55" t="s">
        <v>183</v>
      </c>
    </row>
    <row r="42" spans="1:3" ht="47.25" x14ac:dyDescent="0.25">
      <c r="A42" s="58" t="s">
        <v>184</v>
      </c>
      <c r="B42" s="58" t="s">
        <v>185</v>
      </c>
      <c r="C42" s="58" t="s">
        <v>186</v>
      </c>
    </row>
    <row r="43" spans="1:3" ht="31.5" x14ac:dyDescent="0.25">
      <c r="A43" s="59" t="s">
        <v>187</v>
      </c>
      <c r="B43" s="60">
        <v>0.5</v>
      </c>
      <c r="C43" s="59" t="s">
        <v>188</v>
      </c>
    </row>
    <row r="44" spans="1:3" ht="31.5" x14ac:dyDescent="0.25">
      <c r="A44" s="59" t="s">
        <v>189</v>
      </c>
      <c r="B44" s="60">
        <v>0.4</v>
      </c>
      <c r="C44" s="59" t="s">
        <v>190</v>
      </c>
    </row>
    <row r="45" spans="1:3" ht="47.25" x14ac:dyDescent="0.25">
      <c r="A45" s="59" t="s">
        <v>191</v>
      </c>
      <c r="B45" s="60">
        <v>0.1</v>
      </c>
      <c r="C45" s="59" t="s">
        <v>192</v>
      </c>
    </row>
    <row r="46" spans="1:3" ht="15.75" x14ac:dyDescent="0.25">
      <c r="A46" s="55" t="s">
        <v>193</v>
      </c>
    </row>
    <row r="49" spans="1:1" ht="17.25" x14ac:dyDescent="0.25">
      <c r="A49" s="54" t="s">
        <v>194</v>
      </c>
    </row>
    <row r="50" spans="1:1" x14ac:dyDescent="0.25">
      <c r="A50" s="56"/>
    </row>
    <row r="51" spans="1:1" ht="15.75" x14ac:dyDescent="0.25">
      <c r="A51" s="61" t="s">
        <v>195</v>
      </c>
    </row>
    <row r="52" spans="1:1" ht="15.75" x14ac:dyDescent="0.25">
      <c r="A52" s="61" t="s">
        <v>196</v>
      </c>
    </row>
    <row r="53" spans="1:1" ht="15.75" x14ac:dyDescent="0.25">
      <c r="A53" s="61" t="s">
        <v>197</v>
      </c>
    </row>
    <row r="54" spans="1:1" ht="15.75" x14ac:dyDescent="0.25">
      <c r="A54" s="61" t="s">
        <v>198</v>
      </c>
    </row>
    <row r="57" spans="1:1" ht="17.25" x14ac:dyDescent="0.25">
      <c r="A57" s="54" t="s">
        <v>199</v>
      </c>
    </row>
    <row r="58" spans="1:1" ht="15.75" x14ac:dyDescent="0.25">
      <c r="A58" s="55" t="s">
        <v>210</v>
      </c>
    </row>
    <row r="61" spans="1:1" ht="17.25" x14ac:dyDescent="0.25">
      <c r="A61" s="54" t="s">
        <v>200</v>
      </c>
    </row>
    <row r="62" spans="1:1" x14ac:dyDescent="0.25">
      <c r="A62" s="56"/>
    </row>
    <row r="63" spans="1:1" ht="15.75" x14ac:dyDescent="0.25">
      <c r="A63" s="61" t="s">
        <v>201</v>
      </c>
    </row>
    <row r="64" spans="1:1" ht="15.75" x14ac:dyDescent="0.25">
      <c r="A64" s="61" t="s">
        <v>202</v>
      </c>
    </row>
    <row r="67" spans="1:1" ht="17.25" x14ac:dyDescent="0.25">
      <c r="A67" s="54" t="s">
        <v>203</v>
      </c>
    </row>
    <row r="68" spans="1:1" ht="15.75" x14ac:dyDescent="0.25">
      <c r="A68" s="55" t="s">
        <v>211</v>
      </c>
    </row>
    <row r="69" spans="1:1" ht="15.75" x14ac:dyDescent="0.25">
      <c r="A69" s="53" t="s">
        <v>204</v>
      </c>
    </row>
    <row r="72" spans="1:1" ht="15.75" x14ac:dyDescent="0.25">
      <c r="A72" s="55" t="s">
        <v>205</v>
      </c>
    </row>
    <row r="75" spans="1:1" ht="15.75" x14ac:dyDescent="0.25">
      <c r="A75" s="55" t="s">
        <v>206</v>
      </c>
    </row>
    <row r="78" spans="1:1" ht="15.75" x14ac:dyDescent="0.25">
      <c r="A78" s="6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07A7-175F-4764-B63C-D661EEA8CD9C}">
  <sheetPr>
    <tabColor theme="6" tint="0.59999389629810485"/>
  </sheetPr>
  <dimension ref="A1:W52"/>
  <sheetViews>
    <sheetView workbookViewId="0">
      <selection activeCell="A3" sqref="A3"/>
    </sheetView>
  </sheetViews>
  <sheetFormatPr defaultRowHeight="15" x14ac:dyDescent="0.25"/>
  <cols>
    <col min="1" max="1" width="26.28515625" customWidth="1"/>
    <col min="2" max="3" width="10.42578125" customWidth="1"/>
    <col min="4" max="4" width="16" customWidth="1"/>
    <col min="5" max="5" width="16.140625" customWidth="1"/>
    <col min="6" max="6" width="11.5703125" customWidth="1"/>
  </cols>
  <sheetData>
    <row r="1" spans="1:4" x14ac:dyDescent="0.25">
      <c r="A1" t="s">
        <v>219</v>
      </c>
    </row>
    <row r="2" spans="1:4" x14ac:dyDescent="0.25">
      <c r="A2" t="s">
        <v>220</v>
      </c>
      <c r="D2" s="4" t="s">
        <v>81</v>
      </c>
    </row>
    <row r="3" spans="1:4" x14ac:dyDescent="0.25">
      <c r="A3" t="s">
        <v>83</v>
      </c>
      <c r="B3" s="1">
        <v>350000</v>
      </c>
      <c r="C3" s="10">
        <v>0.2</v>
      </c>
      <c r="D3" s="21">
        <f>B3*C3*B4</f>
        <v>2800</v>
      </c>
    </row>
    <row r="4" spans="1:4" x14ac:dyDescent="0.25">
      <c r="A4" t="s">
        <v>80</v>
      </c>
      <c r="B4" s="10">
        <v>0.04</v>
      </c>
      <c r="C4" s="10"/>
    </row>
    <row r="5" spans="1:4" x14ac:dyDescent="0.25">
      <c r="A5" t="s">
        <v>79</v>
      </c>
      <c r="B5" s="1">
        <v>21000</v>
      </c>
      <c r="C5" s="10">
        <v>0.8</v>
      </c>
      <c r="D5" s="21">
        <f>(B5*C5)*(1+B6)</f>
        <v>17220</v>
      </c>
    </row>
    <row r="6" spans="1:4" x14ac:dyDescent="0.25">
      <c r="A6" s="6" t="s">
        <v>82</v>
      </c>
      <c r="B6" s="27">
        <v>2.5000000000000001E-2</v>
      </c>
      <c r="C6" s="22"/>
      <c r="D6" s="6"/>
    </row>
    <row r="7" spans="1:4" x14ac:dyDescent="0.25">
      <c r="D7" s="23">
        <f>SUM(D3:D6)</f>
        <v>20020</v>
      </c>
    </row>
    <row r="19" spans="1:23" ht="51" customHeight="1" x14ac:dyDescent="0.25">
      <c r="A19" s="83" t="s">
        <v>55</v>
      </c>
      <c r="B19" s="83"/>
      <c r="C19" s="83"/>
      <c r="D19" s="83"/>
      <c r="E19" s="83"/>
      <c r="F19" s="83"/>
      <c r="G19" s="83"/>
      <c r="H19" s="83"/>
      <c r="I19" s="83"/>
      <c r="J19" s="83"/>
      <c r="K19" s="83"/>
      <c r="L19" s="83"/>
      <c r="M19" s="83"/>
      <c r="N19" s="83"/>
      <c r="O19" s="83"/>
      <c r="P19" s="83"/>
      <c r="Q19" s="83"/>
      <c r="R19" s="83"/>
      <c r="S19" s="83"/>
      <c r="T19" s="83"/>
      <c r="U19" s="83"/>
      <c r="V19" s="83"/>
      <c r="W19" s="83"/>
    </row>
    <row r="20" spans="1:23" x14ac:dyDescent="0.25">
      <c r="A20" s="20"/>
    </row>
    <row r="21" spans="1:23" x14ac:dyDescent="0.25">
      <c r="A21" s="20" t="s">
        <v>56</v>
      </c>
    </row>
    <row r="22" spans="1:23" x14ac:dyDescent="0.25">
      <c r="A22" s="20"/>
    </row>
    <row r="23" spans="1:23" ht="105" customHeight="1" x14ac:dyDescent="0.25">
      <c r="A23" s="83" t="s">
        <v>57</v>
      </c>
      <c r="B23" s="83"/>
      <c r="C23" s="83"/>
      <c r="D23" s="83"/>
      <c r="E23" s="83"/>
      <c r="F23" s="83"/>
      <c r="G23" s="83"/>
      <c r="H23" s="83"/>
      <c r="I23" s="83"/>
      <c r="J23" s="83"/>
      <c r="K23" s="83"/>
      <c r="L23" s="83"/>
      <c r="M23" s="83"/>
      <c r="N23" s="83"/>
      <c r="O23" s="83"/>
      <c r="P23" s="83"/>
      <c r="Q23" s="83"/>
      <c r="R23" s="83"/>
      <c r="S23" s="83"/>
      <c r="T23" s="83"/>
      <c r="U23" s="83"/>
      <c r="V23" s="83"/>
      <c r="W23" s="83"/>
    </row>
    <row r="24" spans="1:23" x14ac:dyDescent="0.25">
      <c r="A24" s="20"/>
    </row>
    <row r="25" spans="1:23" ht="34.5" customHeight="1" x14ac:dyDescent="0.25">
      <c r="A25" s="83" t="s">
        <v>58</v>
      </c>
      <c r="B25" s="83"/>
      <c r="C25" s="83"/>
      <c r="D25" s="83"/>
      <c r="E25" s="83"/>
      <c r="F25" s="83"/>
      <c r="G25" s="83"/>
      <c r="H25" s="83"/>
      <c r="I25" s="83"/>
      <c r="J25" s="83"/>
      <c r="K25" s="83"/>
      <c r="L25" s="83"/>
      <c r="M25" s="83"/>
      <c r="N25" s="83"/>
      <c r="O25" s="83"/>
      <c r="P25" s="83"/>
      <c r="Q25" s="83"/>
      <c r="R25" s="83"/>
      <c r="S25" s="83"/>
      <c r="T25" s="83"/>
      <c r="U25" s="83"/>
      <c r="V25" s="83"/>
      <c r="W25" s="83"/>
    </row>
    <row r="26" spans="1:23" ht="36.75" customHeight="1" x14ac:dyDescent="0.25">
      <c r="A26" s="83" t="s">
        <v>59</v>
      </c>
      <c r="B26" s="83"/>
      <c r="C26" s="83"/>
      <c r="D26" s="83"/>
      <c r="E26" s="83"/>
      <c r="F26" s="83"/>
      <c r="G26" s="83"/>
      <c r="H26" s="83"/>
      <c r="I26" s="83"/>
      <c r="J26" s="83"/>
      <c r="K26" s="83"/>
      <c r="L26" s="83"/>
      <c r="M26" s="83"/>
      <c r="N26" s="83"/>
      <c r="O26" s="83"/>
      <c r="P26" s="83"/>
      <c r="Q26" s="83"/>
      <c r="R26" s="83"/>
      <c r="S26" s="83"/>
      <c r="T26" s="83"/>
      <c r="U26" s="83"/>
      <c r="V26" s="83"/>
    </row>
    <row r="27" spans="1:23" x14ac:dyDescent="0.25">
      <c r="A27" s="20"/>
    </row>
    <row r="28" spans="1:23" x14ac:dyDescent="0.25">
      <c r="A28" s="20" t="s">
        <v>60</v>
      </c>
    </row>
    <row r="29" spans="1:23" x14ac:dyDescent="0.25">
      <c r="A29" s="20"/>
    </row>
    <row r="30" spans="1:23" ht="45" customHeight="1" x14ac:dyDescent="0.25">
      <c r="A30" s="83" t="s">
        <v>61</v>
      </c>
      <c r="B30" s="83"/>
      <c r="C30" s="83"/>
      <c r="D30" s="83"/>
      <c r="E30" s="83"/>
      <c r="F30" s="83"/>
      <c r="G30" s="83"/>
      <c r="H30" s="83"/>
      <c r="I30" s="83"/>
      <c r="J30" s="83"/>
      <c r="K30" s="83"/>
      <c r="L30" s="83"/>
      <c r="M30" s="83"/>
      <c r="N30" s="83"/>
      <c r="O30" s="83"/>
      <c r="P30" s="83"/>
      <c r="Q30" s="83"/>
      <c r="R30" s="83"/>
      <c r="S30" s="83"/>
      <c r="T30" s="83"/>
      <c r="U30" s="83"/>
      <c r="V30" s="83"/>
    </row>
    <row r="31" spans="1:23" x14ac:dyDescent="0.25">
      <c r="A31" s="20"/>
    </row>
    <row r="32" spans="1:23" ht="30" x14ac:dyDescent="0.25">
      <c r="A32" s="20" t="s">
        <v>62</v>
      </c>
    </row>
    <row r="33" spans="1:22" x14ac:dyDescent="0.25">
      <c r="A33" s="20"/>
    </row>
    <row r="34" spans="1:22" ht="24" customHeight="1" x14ac:dyDescent="0.25">
      <c r="A34" s="83" t="s">
        <v>63</v>
      </c>
      <c r="B34" s="83"/>
      <c r="C34" s="83"/>
      <c r="D34" s="83"/>
      <c r="E34" s="83"/>
      <c r="F34" s="83"/>
      <c r="G34" s="83"/>
      <c r="H34" s="83"/>
      <c r="I34" s="83"/>
      <c r="J34" s="83"/>
      <c r="K34" s="83"/>
      <c r="L34" s="83"/>
      <c r="M34" s="83"/>
      <c r="N34" s="83"/>
      <c r="O34" s="83"/>
      <c r="P34" s="83"/>
      <c r="Q34" s="83"/>
      <c r="R34" s="83"/>
      <c r="S34" s="83"/>
      <c r="T34" s="83"/>
      <c r="U34" s="83"/>
      <c r="V34" s="83"/>
    </row>
    <row r="35" spans="1:22" ht="21.75" customHeight="1" x14ac:dyDescent="0.25">
      <c r="A35" s="83" t="s">
        <v>64</v>
      </c>
      <c r="B35" s="83"/>
      <c r="C35" s="83"/>
      <c r="D35" s="83"/>
      <c r="E35" s="83"/>
      <c r="F35" s="83"/>
      <c r="G35" s="83"/>
      <c r="H35" s="83"/>
      <c r="I35" s="83"/>
      <c r="J35" s="83"/>
      <c r="K35" s="83"/>
      <c r="L35" s="83"/>
      <c r="M35" s="83"/>
      <c r="N35" s="83"/>
      <c r="O35" s="83"/>
      <c r="P35" s="83"/>
      <c r="Q35" s="83"/>
      <c r="R35" s="83"/>
      <c r="S35" s="83"/>
      <c r="T35" s="83"/>
      <c r="U35" s="83"/>
      <c r="V35" s="83"/>
    </row>
    <row r="36" spans="1:22" ht="31.5" customHeight="1" x14ac:dyDescent="0.25">
      <c r="A36" s="83" t="s">
        <v>65</v>
      </c>
      <c r="B36" s="83"/>
      <c r="C36" s="83"/>
      <c r="D36" s="83"/>
      <c r="E36" s="83"/>
      <c r="F36" s="83"/>
      <c r="G36" s="83"/>
      <c r="H36" s="83"/>
      <c r="I36" s="83"/>
      <c r="J36" s="83"/>
      <c r="K36" s="83"/>
      <c r="L36" s="83"/>
      <c r="M36" s="83"/>
      <c r="N36" s="83"/>
      <c r="O36" s="83"/>
      <c r="P36" s="83"/>
      <c r="Q36" s="83"/>
      <c r="R36" s="83"/>
      <c r="S36" s="83"/>
      <c r="T36" s="83"/>
      <c r="U36" s="83"/>
      <c r="V36" s="83"/>
    </row>
    <row r="37" spans="1:22" ht="29.25" customHeight="1" x14ac:dyDescent="0.25">
      <c r="A37" s="83" t="s">
        <v>66</v>
      </c>
      <c r="B37" s="83"/>
      <c r="C37" s="83"/>
      <c r="D37" s="83"/>
      <c r="E37" s="83"/>
      <c r="F37" s="83"/>
      <c r="G37" s="83"/>
      <c r="H37" s="83"/>
      <c r="I37" s="83"/>
      <c r="J37" s="83"/>
      <c r="K37" s="83"/>
      <c r="L37" s="83"/>
      <c r="M37" s="83"/>
      <c r="N37" s="83"/>
      <c r="O37" s="83"/>
      <c r="P37" s="83"/>
      <c r="Q37" s="83"/>
      <c r="R37" s="83"/>
      <c r="S37" s="83"/>
      <c r="T37" s="83"/>
      <c r="U37" s="83"/>
      <c r="V37" s="83"/>
    </row>
    <row r="38" spans="1:22" x14ac:dyDescent="0.25">
      <c r="A38" s="20"/>
    </row>
    <row r="39" spans="1:22" x14ac:dyDescent="0.25">
      <c r="A39" s="20"/>
    </row>
    <row r="40" spans="1:22" ht="30" x14ac:dyDescent="0.25">
      <c r="A40" s="20" t="s">
        <v>67</v>
      </c>
    </row>
    <row r="41" spans="1:22" ht="75" x14ac:dyDescent="0.25">
      <c r="A41" s="20" t="s">
        <v>68</v>
      </c>
    </row>
    <row r="42" spans="1:22" ht="45" x14ac:dyDescent="0.25">
      <c r="A42" s="20" t="s">
        <v>69</v>
      </c>
    </row>
    <row r="43" spans="1:22" ht="75" x14ac:dyDescent="0.25">
      <c r="A43" s="20" t="s">
        <v>70</v>
      </c>
    </row>
    <row r="44" spans="1:22" ht="45" x14ac:dyDescent="0.25">
      <c r="A44" s="20" t="s">
        <v>71</v>
      </c>
    </row>
    <row r="45" spans="1:22" ht="75" x14ac:dyDescent="0.25">
      <c r="A45" s="20" t="s">
        <v>72</v>
      </c>
    </row>
    <row r="46" spans="1:22" ht="45" x14ac:dyDescent="0.25">
      <c r="A46" s="20" t="s">
        <v>73</v>
      </c>
    </row>
    <row r="48" spans="1:22" x14ac:dyDescent="0.25">
      <c r="A48" t="s">
        <v>74</v>
      </c>
    </row>
    <row r="49" spans="1:1" x14ac:dyDescent="0.25">
      <c r="A49" t="s">
        <v>75</v>
      </c>
    </row>
    <row r="50" spans="1:1" x14ac:dyDescent="0.25">
      <c r="A50" t="s">
        <v>76</v>
      </c>
    </row>
    <row r="51" spans="1:1" x14ac:dyDescent="0.25">
      <c r="A51" t="s">
        <v>77</v>
      </c>
    </row>
    <row r="52" spans="1:1" x14ac:dyDescent="0.25">
      <c r="A52" t="s">
        <v>78</v>
      </c>
    </row>
  </sheetData>
  <mergeCells count="9">
    <mergeCell ref="A35:V35"/>
    <mergeCell ref="A36:V36"/>
    <mergeCell ref="A37:V37"/>
    <mergeCell ref="A23:W23"/>
    <mergeCell ref="A19:W19"/>
    <mergeCell ref="A25:W25"/>
    <mergeCell ref="A26:V26"/>
    <mergeCell ref="A30:V30"/>
    <mergeCell ref="A34:V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64CC1-14A2-49FA-BBEE-E18776CF96AB}">
  <sheetPr>
    <tabColor theme="8" tint="0.59999389629810485"/>
  </sheetPr>
  <dimension ref="A1:V17"/>
  <sheetViews>
    <sheetView workbookViewId="0">
      <selection activeCell="A9" sqref="A9"/>
    </sheetView>
  </sheetViews>
  <sheetFormatPr defaultRowHeight="15" x14ac:dyDescent="0.25"/>
  <cols>
    <col min="1" max="1" width="25.140625" customWidth="1"/>
    <col min="2" max="2" width="11.85546875" customWidth="1"/>
    <col min="9" max="9" width="11.140625" bestFit="1" customWidth="1"/>
    <col min="10" max="10" width="11.85546875" bestFit="1" customWidth="1"/>
  </cols>
  <sheetData>
    <row r="1" spans="1:22" x14ac:dyDescent="0.25">
      <c r="I1" s="40" t="s">
        <v>112</v>
      </c>
      <c r="J1" s="32"/>
      <c r="K1" s="32"/>
      <c r="L1" s="32"/>
      <c r="M1" s="32"/>
      <c r="N1" s="32"/>
      <c r="O1" s="32"/>
      <c r="P1" s="32"/>
      <c r="Q1" s="32"/>
      <c r="R1" s="32"/>
      <c r="S1" s="32"/>
      <c r="T1" s="32"/>
      <c r="U1" s="32"/>
      <c r="V1" s="33"/>
    </row>
    <row r="2" spans="1:22" ht="45" x14ac:dyDescent="0.25">
      <c r="A2" s="29" t="s">
        <v>86</v>
      </c>
      <c r="B2" s="30">
        <v>15</v>
      </c>
      <c r="I2" s="34" t="s">
        <v>102</v>
      </c>
      <c r="J2" s="30" t="s">
        <v>103</v>
      </c>
      <c r="V2" s="35"/>
    </row>
    <row r="3" spans="1:22" x14ac:dyDescent="0.25">
      <c r="A3" s="28" t="s">
        <v>87</v>
      </c>
      <c r="B3" s="28">
        <v>500</v>
      </c>
      <c r="I3" s="34">
        <v>2018</v>
      </c>
      <c r="J3">
        <v>18</v>
      </c>
      <c r="V3" s="35"/>
    </row>
    <row r="4" spans="1:22" x14ac:dyDescent="0.25">
      <c r="I4" s="34">
        <v>2019</v>
      </c>
      <c r="J4">
        <v>12</v>
      </c>
      <c r="V4" s="35"/>
    </row>
    <row r="5" spans="1:22" x14ac:dyDescent="0.25">
      <c r="A5" t="s">
        <v>110</v>
      </c>
      <c r="B5" s="31">
        <f>B2/B3</f>
        <v>0.03</v>
      </c>
      <c r="I5" s="34">
        <v>2020</v>
      </c>
      <c r="J5">
        <v>23</v>
      </c>
      <c r="V5" s="35"/>
    </row>
    <row r="6" spans="1:22" x14ac:dyDescent="0.25">
      <c r="I6" s="34">
        <v>2021</v>
      </c>
      <c r="J6">
        <v>25</v>
      </c>
      <c r="V6" s="35"/>
    </row>
    <row r="7" spans="1:22" x14ac:dyDescent="0.25">
      <c r="A7" t="s">
        <v>221</v>
      </c>
      <c r="I7" s="34">
        <v>2022</v>
      </c>
      <c r="J7">
        <v>9</v>
      </c>
      <c r="V7" s="35"/>
    </row>
    <row r="8" spans="1:22" x14ac:dyDescent="0.25">
      <c r="A8" t="s">
        <v>222</v>
      </c>
      <c r="I8" s="34">
        <v>2023</v>
      </c>
      <c r="J8">
        <v>15</v>
      </c>
      <c r="V8" s="35"/>
    </row>
    <row r="9" spans="1:22" x14ac:dyDescent="0.25">
      <c r="I9" s="34">
        <v>2024</v>
      </c>
      <c r="J9">
        <v>7</v>
      </c>
      <c r="V9" s="35"/>
    </row>
    <row r="10" spans="1:22" x14ac:dyDescent="0.25">
      <c r="I10" s="34" t="s">
        <v>104</v>
      </c>
      <c r="J10">
        <v>1</v>
      </c>
      <c r="V10" s="35"/>
    </row>
    <row r="11" spans="1:22" x14ac:dyDescent="0.25">
      <c r="I11" s="34"/>
      <c r="V11" s="35"/>
    </row>
    <row r="12" spans="1:22" x14ac:dyDescent="0.25">
      <c r="I12" s="34"/>
      <c r="V12" s="35"/>
    </row>
    <row r="13" spans="1:22" x14ac:dyDescent="0.25">
      <c r="I13" s="36" t="s">
        <v>109</v>
      </c>
      <c r="V13" s="35"/>
    </row>
    <row r="14" spans="1:22" x14ac:dyDescent="0.25">
      <c r="I14" s="34" t="s">
        <v>105</v>
      </c>
      <c r="V14" s="35"/>
    </row>
    <row r="15" spans="1:22" x14ac:dyDescent="0.25">
      <c r="I15" s="34" t="s">
        <v>106</v>
      </c>
      <c r="V15" s="35"/>
    </row>
    <row r="16" spans="1:22" x14ac:dyDescent="0.25">
      <c r="I16" s="34" t="s">
        <v>107</v>
      </c>
      <c r="V16" s="35"/>
    </row>
    <row r="17" spans="9:22" ht="15.75" thickBot="1" x14ac:dyDescent="0.3">
      <c r="I17" s="37" t="s">
        <v>108</v>
      </c>
      <c r="J17" s="38"/>
      <c r="K17" s="38"/>
      <c r="L17" s="38"/>
      <c r="M17" s="38"/>
      <c r="N17" s="38"/>
      <c r="O17" s="38"/>
      <c r="P17" s="38"/>
      <c r="Q17" s="38"/>
      <c r="R17" s="38"/>
      <c r="S17" s="38"/>
      <c r="T17" s="38"/>
      <c r="U17" s="38"/>
      <c r="V17"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About</vt:lpstr>
      <vt:lpstr>Proforma</vt:lpstr>
      <vt:lpstr>grave openings estimate</vt:lpstr>
      <vt:lpstr>Actuarial life table</vt:lpstr>
      <vt:lpstr>Investment Policy Statement</vt:lpstr>
      <vt:lpstr>Spending Rule</vt:lpstr>
      <vt:lpstr>Denise notes</vt:lpstr>
      <vt:lpstr>Proforma!Print_Titles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Kampakis</dc:creator>
  <cp:lastModifiedBy>Harry Kampakis</cp:lastModifiedBy>
  <cp:lastPrinted>2025-05-02T03:17:10Z</cp:lastPrinted>
  <dcterms:created xsi:type="dcterms:W3CDTF">2025-04-25T02:14:23Z</dcterms:created>
  <dcterms:modified xsi:type="dcterms:W3CDTF">2025-05-02T04:01:39Z</dcterms:modified>
</cp:coreProperties>
</file>